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Agosto 2022\"/>
    </mc:Choice>
  </mc:AlternateContent>
  <xr:revisionPtr revIDLastSave="0" documentId="8_{1498851C-E6FA-4FCE-9EB4-7082462D9C68}" xr6:coauthVersionLast="36" xr6:coauthVersionMax="36" xr10:uidLastSave="{00000000-0000-0000-0000-000000000000}"/>
  <bookViews>
    <workbookView xWindow="0" yWindow="0" windowWidth="20496" windowHeight="7452" xr2:uid="{00000000-000D-0000-FFFF-FFFF00000000}"/>
  </bookViews>
  <sheets>
    <sheet name="EJEC. 2022" sheetId="1" r:id="rId1"/>
  </sheets>
  <definedNames>
    <definedName name="_xlnm.Print_Area" localSheetId="0">'EJEC. 2022'!$A$1:$V$177</definedName>
    <definedName name="_xlnm.Print_Titles" localSheetId="0">'EJEC. 2022'!$1:$7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2" i="1" l="1"/>
  <c r="I162" i="1"/>
  <c r="I161" i="1" s="1"/>
  <c r="U161" i="1"/>
  <c r="T161" i="1"/>
  <c r="S161" i="1"/>
  <c r="R161" i="1"/>
  <c r="Q161" i="1"/>
  <c r="P161" i="1"/>
  <c r="O161" i="1"/>
  <c r="N161" i="1"/>
  <c r="M161" i="1"/>
  <c r="L161" i="1"/>
  <c r="K161" i="1"/>
  <c r="J161" i="1"/>
  <c r="H161" i="1"/>
  <c r="G161" i="1"/>
  <c r="V159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V157" i="1"/>
  <c r="V156" i="1"/>
  <c r="I156" i="1"/>
  <c r="I155" i="1" s="1"/>
  <c r="U155" i="1"/>
  <c r="T155" i="1"/>
  <c r="S155" i="1"/>
  <c r="R155" i="1"/>
  <c r="Q155" i="1"/>
  <c r="P155" i="1"/>
  <c r="O155" i="1"/>
  <c r="N155" i="1"/>
  <c r="M155" i="1"/>
  <c r="L155" i="1"/>
  <c r="K155" i="1"/>
  <c r="J155" i="1"/>
  <c r="H155" i="1"/>
  <c r="G155" i="1"/>
  <c r="V153" i="1"/>
  <c r="I153" i="1"/>
  <c r="I151" i="1" s="1"/>
  <c r="V152" i="1"/>
  <c r="I152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H151" i="1"/>
  <c r="G151" i="1"/>
  <c r="V149" i="1"/>
  <c r="I149" i="1"/>
  <c r="V148" i="1"/>
  <c r="I148" i="1"/>
  <c r="V147" i="1"/>
  <c r="I147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V144" i="1"/>
  <c r="I144" i="1"/>
  <c r="V143" i="1"/>
  <c r="I143" i="1"/>
  <c r="V142" i="1"/>
  <c r="I142" i="1"/>
  <c r="V141" i="1"/>
  <c r="I141" i="1"/>
  <c r="V140" i="1"/>
  <c r="I140" i="1"/>
  <c r="V139" i="1"/>
  <c r="I139" i="1"/>
  <c r="V138" i="1"/>
  <c r="I138" i="1"/>
  <c r="V137" i="1"/>
  <c r="I137" i="1"/>
  <c r="V136" i="1"/>
  <c r="I136" i="1"/>
  <c r="V135" i="1"/>
  <c r="I135" i="1"/>
  <c r="V134" i="1"/>
  <c r="I134" i="1"/>
  <c r="N133" i="1"/>
  <c r="V133" i="1" s="1"/>
  <c r="I133" i="1"/>
  <c r="V132" i="1"/>
  <c r="I132" i="1"/>
  <c r="V131" i="1"/>
  <c r="I131" i="1"/>
  <c r="V130" i="1"/>
  <c r="I130" i="1"/>
  <c r="V129" i="1"/>
  <c r="I129" i="1"/>
  <c r="K128" i="1"/>
  <c r="K125" i="1" s="1"/>
  <c r="I128" i="1"/>
  <c r="V127" i="1"/>
  <c r="I127" i="1"/>
  <c r="N126" i="1"/>
  <c r="N125" i="1" s="1"/>
  <c r="M126" i="1"/>
  <c r="L126" i="1"/>
  <c r="I126" i="1"/>
  <c r="U125" i="1"/>
  <c r="T125" i="1"/>
  <c r="S125" i="1"/>
  <c r="R125" i="1"/>
  <c r="Q125" i="1"/>
  <c r="P125" i="1"/>
  <c r="O125" i="1"/>
  <c r="M125" i="1"/>
  <c r="J125" i="1"/>
  <c r="H125" i="1"/>
  <c r="G125" i="1"/>
  <c r="V123" i="1"/>
  <c r="I123" i="1"/>
  <c r="V122" i="1"/>
  <c r="Q122" i="1"/>
  <c r="H122" i="1"/>
  <c r="G122" i="1"/>
  <c r="I122" i="1" s="1"/>
  <c r="I121" i="1" s="1"/>
  <c r="U121" i="1"/>
  <c r="T121" i="1"/>
  <c r="S121" i="1"/>
  <c r="R121" i="1"/>
  <c r="Q121" i="1"/>
  <c r="P121" i="1"/>
  <c r="O121" i="1"/>
  <c r="N121" i="1"/>
  <c r="M121" i="1"/>
  <c r="L121" i="1"/>
  <c r="K121" i="1"/>
  <c r="J121" i="1"/>
  <c r="H121" i="1"/>
  <c r="V119" i="1"/>
  <c r="I119" i="1"/>
  <c r="P118" i="1"/>
  <c r="P108" i="1" s="1"/>
  <c r="L118" i="1"/>
  <c r="I118" i="1"/>
  <c r="V117" i="1"/>
  <c r="I117" i="1"/>
  <c r="M116" i="1"/>
  <c r="V116" i="1" s="1"/>
  <c r="I116" i="1"/>
  <c r="V115" i="1"/>
  <c r="I115" i="1"/>
  <c r="V114" i="1"/>
  <c r="I114" i="1"/>
  <c r="V113" i="1"/>
  <c r="I113" i="1"/>
  <c r="V112" i="1"/>
  <c r="I112" i="1"/>
  <c r="V111" i="1"/>
  <c r="H111" i="1"/>
  <c r="I111" i="1" s="1"/>
  <c r="V110" i="1"/>
  <c r="I110" i="1"/>
  <c r="V109" i="1"/>
  <c r="I109" i="1"/>
  <c r="U108" i="1"/>
  <c r="T108" i="1"/>
  <c r="S108" i="1"/>
  <c r="R108" i="1"/>
  <c r="Q108" i="1"/>
  <c r="O108" i="1"/>
  <c r="N108" i="1"/>
  <c r="M108" i="1"/>
  <c r="L108" i="1"/>
  <c r="K108" i="1"/>
  <c r="J108" i="1"/>
  <c r="G108" i="1"/>
  <c r="V106" i="1"/>
  <c r="I106" i="1"/>
  <c r="V105" i="1"/>
  <c r="I105" i="1"/>
  <c r="V104" i="1"/>
  <c r="G104" i="1"/>
  <c r="I104" i="1" s="1"/>
  <c r="V103" i="1"/>
  <c r="I103" i="1"/>
  <c r="V102" i="1"/>
  <c r="H102" i="1"/>
  <c r="I102" i="1" s="1"/>
  <c r="V101" i="1"/>
  <c r="G101" i="1"/>
  <c r="I101" i="1" s="1"/>
  <c r="V100" i="1"/>
  <c r="I100" i="1"/>
  <c r="V99" i="1"/>
  <c r="G99" i="1"/>
  <c r="I99" i="1" s="1"/>
  <c r="V98" i="1"/>
  <c r="I98" i="1"/>
  <c r="V97" i="1"/>
  <c r="I97" i="1"/>
  <c r="V96" i="1"/>
  <c r="I96" i="1"/>
  <c r="V95" i="1"/>
  <c r="I95" i="1"/>
  <c r="L94" i="1"/>
  <c r="V94" i="1" s="1"/>
  <c r="I94" i="1"/>
  <c r="V93" i="1"/>
  <c r="I93" i="1"/>
  <c r="V92" i="1"/>
  <c r="I92" i="1"/>
  <c r="V91" i="1"/>
  <c r="I91" i="1"/>
  <c r="V90" i="1"/>
  <c r="I90" i="1"/>
  <c r="V89" i="1"/>
  <c r="I89" i="1"/>
  <c r="V88" i="1"/>
  <c r="I88" i="1"/>
  <c r="V87" i="1"/>
  <c r="I87" i="1"/>
  <c r="V86" i="1"/>
  <c r="I86" i="1"/>
  <c r="V85" i="1"/>
  <c r="I85" i="1"/>
  <c r="V84" i="1"/>
  <c r="I84" i="1"/>
  <c r="V83" i="1"/>
  <c r="I83" i="1"/>
  <c r="V82" i="1"/>
  <c r="I82" i="1"/>
  <c r="V81" i="1"/>
  <c r="I81" i="1"/>
  <c r="V80" i="1"/>
  <c r="I80" i="1"/>
  <c r="V79" i="1"/>
  <c r="G79" i="1"/>
  <c r="I79" i="1" s="1"/>
  <c r="V78" i="1"/>
  <c r="I78" i="1"/>
  <c r="V77" i="1"/>
  <c r="I77" i="1"/>
  <c r="V76" i="1"/>
  <c r="I76" i="1"/>
  <c r="G76" i="1"/>
  <c r="U75" i="1"/>
  <c r="T75" i="1"/>
  <c r="S75" i="1"/>
  <c r="R75" i="1"/>
  <c r="Q75" i="1"/>
  <c r="P75" i="1"/>
  <c r="O75" i="1"/>
  <c r="N75" i="1"/>
  <c r="M75" i="1"/>
  <c r="L75" i="1"/>
  <c r="K75" i="1"/>
  <c r="J75" i="1"/>
  <c r="V73" i="1"/>
  <c r="I73" i="1"/>
  <c r="V72" i="1"/>
  <c r="I72" i="1"/>
  <c r="Q71" i="1"/>
  <c r="Q30" i="1" s="1"/>
  <c r="N71" i="1"/>
  <c r="N30" i="1" s="1"/>
  <c r="L71" i="1"/>
  <c r="J71" i="1"/>
  <c r="I71" i="1"/>
  <c r="V70" i="1"/>
  <c r="I70" i="1"/>
  <c r="V69" i="1"/>
  <c r="I69" i="1"/>
  <c r="V68" i="1"/>
  <c r="I68" i="1"/>
  <c r="V67" i="1"/>
  <c r="I67" i="1"/>
  <c r="V66" i="1"/>
  <c r="I66" i="1"/>
  <c r="V65" i="1"/>
  <c r="I65" i="1"/>
  <c r="V64" i="1"/>
  <c r="I64" i="1"/>
  <c r="V63" i="1"/>
  <c r="I63" i="1"/>
  <c r="V62" i="1"/>
  <c r="I62" i="1"/>
  <c r="V61" i="1"/>
  <c r="I61" i="1"/>
  <c r="V60" i="1"/>
  <c r="I60" i="1"/>
  <c r="V59" i="1"/>
  <c r="I59" i="1"/>
  <c r="V58" i="1"/>
  <c r="I58" i="1"/>
  <c r="V57" i="1"/>
  <c r="I57" i="1"/>
  <c r="V56" i="1"/>
  <c r="I56" i="1"/>
  <c r="V55" i="1"/>
  <c r="I55" i="1"/>
  <c r="V54" i="1"/>
  <c r="H54" i="1"/>
  <c r="I54" i="1" s="1"/>
  <c r="V53" i="1"/>
  <c r="I53" i="1"/>
  <c r="V52" i="1"/>
  <c r="I52" i="1"/>
  <c r="V51" i="1"/>
  <c r="G51" i="1"/>
  <c r="I51" i="1" s="1"/>
  <c r="P50" i="1"/>
  <c r="V50" i="1" s="1"/>
  <c r="I50" i="1"/>
  <c r="V49" i="1"/>
  <c r="I49" i="1"/>
  <c r="V48" i="1"/>
  <c r="G48" i="1"/>
  <c r="I48" i="1" s="1"/>
  <c r="V47" i="1"/>
  <c r="I47" i="1"/>
  <c r="V46" i="1"/>
  <c r="I46" i="1"/>
  <c r="V45" i="1"/>
  <c r="I45" i="1"/>
  <c r="V44" i="1"/>
  <c r="I44" i="1"/>
  <c r="V43" i="1"/>
  <c r="I43" i="1"/>
  <c r="V42" i="1"/>
  <c r="I42" i="1"/>
  <c r="V41" i="1"/>
  <c r="I41" i="1"/>
  <c r="V40" i="1"/>
  <c r="I40" i="1"/>
  <c r="V39" i="1"/>
  <c r="G39" i="1"/>
  <c r="I39" i="1" s="1"/>
  <c r="V38" i="1"/>
  <c r="I38" i="1"/>
  <c r="O37" i="1"/>
  <c r="O30" i="1" s="1"/>
  <c r="H37" i="1"/>
  <c r="I37" i="1" s="1"/>
  <c r="V36" i="1"/>
  <c r="I36" i="1"/>
  <c r="G36" i="1"/>
  <c r="V35" i="1"/>
  <c r="G35" i="1"/>
  <c r="V34" i="1"/>
  <c r="I34" i="1"/>
  <c r="V33" i="1"/>
  <c r="H33" i="1"/>
  <c r="I33" i="1" s="1"/>
  <c r="G33" i="1"/>
  <c r="V32" i="1"/>
  <c r="I32" i="1"/>
  <c r="V31" i="1"/>
  <c r="I31" i="1"/>
  <c r="U30" i="1"/>
  <c r="T30" i="1"/>
  <c r="S30" i="1"/>
  <c r="R30" i="1"/>
  <c r="P30" i="1"/>
  <c r="M30" i="1"/>
  <c r="L30" i="1"/>
  <c r="K30" i="1"/>
  <c r="V28" i="1"/>
  <c r="I28" i="1"/>
  <c r="V27" i="1"/>
  <c r="I27" i="1"/>
  <c r="V26" i="1"/>
  <c r="I26" i="1"/>
  <c r="V25" i="1"/>
  <c r="H25" i="1"/>
  <c r="I25" i="1" s="1"/>
  <c r="V24" i="1"/>
  <c r="I24" i="1"/>
  <c r="V23" i="1"/>
  <c r="I23" i="1"/>
  <c r="V22" i="1"/>
  <c r="N22" i="1"/>
  <c r="G22" i="1"/>
  <c r="I22" i="1" s="1"/>
  <c r="V21" i="1"/>
  <c r="I21" i="1"/>
  <c r="V20" i="1"/>
  <c r="I20" i="1"/>
  <c r="V19" i="1"/>
  <c r="G19" i="1"/>
  <c r="I19" i="1" s="1"/>
  <c r="V18" i="1"/>
  <c r="I18" i="1"/>
  <c r="V17" i="1"/>
  <c r="I17" i="1"/>
  <c r="V16" i="1"/>
  <c r="I16" i="1"/>
  <c r="V15" i="1"/>
  <c r="I15" i="1"/>
  <c r="N14" i="1"/>
  <c r="V14" i="1" s="1"/>
  <c r="I14" i="1"/>
  <c r="V13" i="1"/>
  <c r="I13" i="1"/>
  <c r="V12" i="1"/>
  <c r="I12" i="1"/>
  <c r="O11" i="1"/>
  <c r="O8" i="1" s="1"/>
  <c r="M11" i="1"/>
  <c r="M8" i="1" s="1"/>
  <c r="I11" i="1"/>
  <c r="V10" i="1"/>
  <c r="I10" i="1"/>
  <c r="L9" i="1"/>
  <c r="V9" i="1" s="1"/>
  <c r="G9" i="1"/>
  <c r="I9" i="1" s="1"/>
  <c r="U8" i="1"/>
  <c r="T8" i="1"/>
  <c r="S8" i="1"/>
  <c r="R8" i="1"/>
  <c r="Q8" i="1"/>
  <c r="P8" i="1"/>
  <c r="N8" i="1"/>
  <c r="K8" i="1"/>
  <c r="J8" i="1"/>
  <c r="H8" i="1"/>
  <c r="I8" i="1" l="1"/>
  <c r="T164" i="1"/>
  <c r="Q164" i="1"/>
  <c r="U164" i="1"/>
  <c r="I75" i="1"/>
  <c r="I108" i="1"/>
  <c r="K164" i="1"/>
  <c r="O164" i="1"/>
  <c r="S164" i="1"/>
  <c r="G30" i="1"/>
  <c r="V121" i="1"/>
  <c r="I125" i="1"/>
  <c r="I164" i="1" s="1"/>
  <c r="V128" i="1"/>
  <c r="V146" i="1"/>
  <c r="V155" i="1"/>
  <c r="V71" i="1"/>
  <c r="H75" i="1"/>
  <c r="V126" i="1"/>
  <c r="V151" i="1"/>
  <c r="L8" i="1"/>
  <c r="V8" i="1" s="1"/>
  <c r="V75" i="1"/>
  <c r="V118" i="1"/>
  <c r="V108" i="1" s="1"/>
  <c r="G121" i="1"/>
  <c r="L125" i="1"/>
  <c r="L164" i="1" s="1"/>
  <c r="V158" i="1"/>
  <c r="R164" i="1"/>
  <c r="P164" i="1"/>
  <c r="V125" i="1"/>
  <c r="M164" i="1"/>
  <c r="N164" i="1"/>
  <c r="G8" i="1"/>
  <c r="J30" i="1"/>
  <c r="V30" i="1" s="1"/>
  <c r="I35" i="1"/>
  <c r="I30" i="1" s="1"/>
  <c r="V37" i="1"/>
  <c r="H108" i="1"/>
  <c r="H164" i="1" s="1"/>
  <c r="V161" i="1"/>
  <c r="V11" i="1"/>
  <c r="H30" i="1"/>
  <c r="G75" i="1"/>
  <c r="G164" i="1" s="1"/>
  <c r="V164" i="1" l="1"/>
  <c r="J1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K1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DE ESTE MONTO PENDIENTE DE INVESTIGAR  RD$63,720.00, YA QUE ME AUMENTA EL VALOR DEL ACTIVO</t>
        </r>
      </text>
    </comment>
  </commentList>
</comments>
</file>

<file path=xl/sharedStrings.xml><?xml version="1.0" encoding="utf-8"?>
<sst xmlns="http://schemas.openxmlformats.org/spreadsheetml/2006/main" count="315" uniqueCount="189">
  <si>
    <t>LIGA MUNICIPAL DOMINICANA</t>
  </si>
  <si>
    <t xml:space="preserve">     EJECUCION PRESUPUESTARIA DE GASTOS Y</t>
  </si>
  <si>
    <t xml:space="preserve"> APLICACIONES FINANCIERA CORRESPONDIENTES AL MES DE AGOSTO</t>
  </si>
  <si>
    <t>TIPO</t>
  </si>
  <si>
    <t>CONCEPTO</t>
  </si>
  <si>
    <t>CTA</t>
  </si>
  <si>
    <t>SUBCTA</t>
  </si>
  <si>
    <t>AUX.</t>
  </si>
  <si>
    <t>DETALLE</t>
  </si>
  <si>
    <t>PRESUPUESTO APROBADO 2022</t>
  </si>
  <si>
    <t>PRESUPUESTO MODIFICADO  2022</t>
  </si>
  <si>
    <t>PRESUPUESTO DEFINITIVO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</si>
  <si>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</si>
  <si>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</si>
  <si>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</si>
  <si>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</si>
  <si>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</si>
  <si>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</si>
  <si>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</si>
  <si>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</si>
  <si>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</si>
  <si>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</si>
  <si>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</si>
  <si>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</si>
  <si>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</si>
  <si>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</si>
  <si>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</si>
  <si>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</si>
  <si>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</si>
  <si>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06</t>
  </si>
  <si>
    <t>JORNALEROS</t>
  </si>
  <si>
    <t>SUELDOS FIJOS EN TRAMITE DE PENSIONES</t>
  </si>
  <si>
    <t>REGALIA PASCUAL</t>
  </si>
  <si>
    <t>03</t>
  </si>
  <si>
    <t>PRESTACIONES LAB. POR DESVINC.</t>
  </si>
  <si>
    <t>VACACIONES NO DISFRUTADAS</t>
  </si>
  <si>
    <t>COMP. POR GASTOS DE ALIMENTACION</t>
  </si>
  <si>
    <t>COMP. HORAS EXTRAS</t>
  </si>
  <si>
    <t>05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</si>
  <si>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</si>
  <si>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</si>
  <si>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</si>
  <si>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</si>
  <si>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</si>
  <si>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</si>
  <si>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</si>
  <si>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</si>
  <si>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02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</si>
  <si>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</si>
  <si>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</si>
  <si>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</si>
  <si>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</si>
  <si>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</si>
  <si>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</si>
  <si>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</si>
  <si>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</si>
  <si>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</si>
  <si>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</si>
  <si>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</si>
  <si>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</si>
  <si>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</si>
  <si>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</si>
  <si>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</si>
  <si>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</si>
  <si>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</si>
  <si>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</si>
  <si>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</si>
  <si>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</si>
  <si>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</si>
  <si>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</si>
  <si>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ALQ. MAQ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</si>
  <si>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</si>
  <si>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</si>
  <si>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</si>
  <si>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</si>
  <si>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</si>
  <si>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</si>
  <si>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</si>
  <si>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</si>
  <si>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</si>
  <si>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</si>
  <si>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</si>
  <si>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</si>
  <si>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</si>
  <si>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</si>
  <si>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</si>
  <si>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</si>
  <si>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</si>
  <si>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</si>
  <si>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</si>
  <si>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SEPORTIVA, DE RECREAC.Y ENTRETEN.</t>
  </si>
  <si>
    <t>ACTIVIDADES JUVENTUD Y GENERO</t>
  </si>
  <si>
    <t>SERVICIOS TECNICOS PROFESIONALES ( HONORARIOS)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</si>
  <si>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</si>
  <si>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</si>
  <si>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</si>
  <si>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</si>
  <si>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</si>
  <si>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</si>
  <si>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</si>
  <si>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</si>
  <si>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</si>
  <si>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</si>
  <si>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</si>
  <si>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</si>
  <si>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</si>
  <si>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</si>
  <si>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</si>
  <si>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</si>
  <si>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</si>
  <si>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</si>
  <si>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</si>
  <si>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</si>
  <si>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</si>
  <si>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</si>
  <si>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</si>
  <si>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</si>
  <si>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</si>
  <si>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</si>
  <si>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</si>
  <si>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</si>
  <si>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INSECTICIDAS, FUMIGANTES Y OTROS</t>
  </si>
  <si>
    <t>ACEITE Y GRASAS</t>
  </si>
  <si>
    <t>LUBRICANTES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</si>
  <si>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</si>
  <si>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</si>
  <si>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</si>
  <si>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</si>
  <si>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</si>
  <si>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</si>
  <si>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</si>
  <si>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</si>
  <si>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</si>
  <si>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</si>
  <si>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</si>
  <si>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</si>
  <si>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</si>
  <si>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</si>
  <si>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</si>
  <si>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</si>
  <si>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</si>
  <si>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</si>
  <si>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</si>
  <si>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</si>
  <si>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</si>
  <si>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</si>
  <si>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</si>
  <si>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</si>
  <si>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</si>
  <si>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</si>
  <si>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</si>
  <si>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</si>
  <si>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</si>
  <si>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</si>
  <si>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</si>
  <si>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</si>
  <si>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</si>
  <si>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</si>
  <si>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</si>
  <si>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 xml:space="preserve">EQUIPO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</si>
  <si>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</si>
  <si>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</si>
  <si>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</si>
  <si>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</si>
  <si>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</si>
  <si>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</si>
  <si>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>OBRAS</t>
  </si>
  <si>
    <t>OBRA PARA EDIFICACION NO RESIDENCIAL</t>
  </si>
  <si>
    <t>OBRAS PARA EDIF. Y OTRAS ESTRUCTURAS</t>
  </si>
  <si>
    <t>OBRAS HIDRAULICAS Y SANITARIA</t>
  </si>
  <si>
    <t>.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</si>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</sst>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4"/>
      <name val="Arial"/>
      <family val="2"/>
    </font>
    <font>
      <b/>
      <u val="double"/>
      <sz val="13"/>
      <name val="Arial"/>
      <family val="2"/>
    </font>
    <font>
      <b/>
      <u val="doubleAccounting"/>
      <sz val="12"/>
      <name val="Arial"/>
      <family val="2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u val="singleAccounting"/>
      <sz val="1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Border="1" applyAlignment="1">
      <alignment vertical="center"/>
    </xf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3" fontId="4" fillId="3" borderId="4" xfId="2" applyFont="1" applyFill="1" applyBorder="1" applyAlignment="1">
      <alignment horizontal="center" vertical="center" wrapText="1"/>
    </xf>
    <xf numFmtId="43" fontId="4" fillId="4" borderId="4" xfId="2" applyFont="1" applyFill="1" applyBorder="1" applyAlignment="1">
      <alignment horizontal="center" vertical="center" wrapText="1"/>
    </xf>
    <xf numFmtId="43" fontId="4" fillId="5" borderId="4" xfId="2" applyFont="1" applyFill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43" fontId="7" fillId="4" borderId="7" xfId="0" applyNumberFormat="1" applyFont="1" applyFill="1" applyBorder="1" applyAlignment="1">
      <alignment vertical="center"/>
    </xf>
    <xf numFmtId="43" fontId="7" fillId="4" borderId="8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/>
    </xf>
    <xf numFmtId="43" fontId="6" fillId="0" borderId="11" xfId="2" applyFont="1" applyFill="1" applyBorder="1" applyAlignment="1">
      <alignment vertical="center"/>
    </xf>
    <xf numFmtId="43" fontId="6" fillId="2" borderId="11" xfId="2" applyFont="1" applyFill="1" applyBorder="1" applyAlignment="1">
      <alignment vertical="center"/>
    </xf>
    <xf numFmtId="43" fontId="6" fillId="0" borderId="10" xfId="0" applyNumberFormat="1" applyFont="1" applyBorder="1" applyAlignment="1">
      <alignment vertical="center"/>
    </xf>
    <xf numFmtId="43" fontId="2" fillId="0" borderId="10" xfId="1" applyFont="1" applyBorder="1" applyAlignment="1">
      <alignment vertical="center"/>
    </xf>
    <xf numFmtId="43" fontId="2" fillId="6" borderId="10" xfId="1" applyFont="1" applyFill="1" applyBorder="1" applyAlignment="1">
      <alignment vertical="center"/>
    </xf>
    <xf numFmtId="43" fontId="2" fillId="0" borderId="10" xfId="1" applyFont="1" applyBorder="1" applyAlignment="1">
      <alignment horizontal="right" vertical="center"/>
    </xf>
    <xf numFmtId="43" fontId="2" fillId="0" borderId="12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43" fontId="2" fillId="0" borderId="11" xfId="1" applyFont="1" applyBorder="1" applyAlignment="1">
      <alignment vertical="center"/>
    </xf>
    <xf numFmtId="43" fontId="2" fillId="6" borderId="11" xfId="1" applyFont="1" applyFill="1" applyBorder="1" applyAlignment="1">
      <alignment vertical="center"/>
    </xf>
    <xf numFmtId="43" fontId="2" fillId="0" borderId="11" xfId="1" applyFont="1" applyBorder="1" applyAlignment="1">
      <alignment horizontal="right" vertical="center"/>
    </xf>
    <xf numFmtId="43" fontId="2" fillId="0" borderId="14" xfId="0" applyNumberFormat="1" applyFont="1" applyFill="1" applyBorder="1" applyAlignment="1">
      <alignment vertical="center"/>
    </xf>
    <xf numFmtId="0" fontId="2" fillId="0" borderId="11" xfId="1" applyNumberFormat="1" applyFont="1" applyBorder="1" applyAlignment="1">
      <alignment horizontal="left" vertical="center"/>
    </xf>
    <xf numFmtId="43" fontId="2" fillId="2" borderId="11" xfId="1" applyFont="1" applyFill="1" applyBorder="1" applyAlignment="1">
      <alignment vertical="center"/>
    </xf>
    <xf numFmtId="43" fontId="2" fillId="0" borderId="14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43" fontId="8" fillId="0" borderId="11" xfId="2" applyFont="1" applyFill="1" applyBorder="1" applyAlignment="1">
      <alignment vertical="center"/>
    </xf>
    <xf numFmtId="43" fontId="8" fillId="2" borderId="11" xfId="2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3" fontId="2" fillId="0" borderId="16" xfId="1" applyFont="1" applyBorder="1" applyAlignment="1">
      <alignment vertical="center"/>
    </xf>
    <xf numFmtId="43" fontId="2" fillId="6" borderId="16" xfId="1" applyFont="1" applyFill="1" applyBorder="1" applyAlignment="1">
      <alignment vertical="center"/>
    </xf>
    <xf numFmtId="43" fontId="2" fillId="0" borderId="16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3" fontId="2" fillId="0" borderId="18" xfId="1" applyFont="1" applyBorder="1" applyAlignment="1">
      <alignment vertical="center"/>
    </xf>
    <xf numFmtId="43" fontId="2" fillId="0" borderId="18" xfId="1" applyFont="1" applyBorder="1" applyAlignment="1">
      <alignment horizontal="right" vertical="center"/>
    </xf>
    <xf numFmtId="43" fontId="2" fillId="0" borderId="18" xfId="0" applyNumberFormat="1" applyFont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43" fontId="7" fillId="4" borderId="20" xfId="0" applyNumberFormat="1" applyFont="1" applyFill="1" applyBorder="1" applyAlignment="1">
      <alignment horizontal="center" vertical="center"/>
    </xf>
    <xf numFmtId="43" fontId="7" fillId="4" borderId="20" xfId="0" applyNumberFormat="1" applyFont="1" applyFill="1" applyBorder="1" applyAlignment="1">
      <alignment vertical="center"/>
    </xf>
    <xf numFmtId="43" fontId="7" fillId="4" borderId="20" xfId="1" applyFont="1" applyFill="1" applyBorder="1" applyAlignment="1">
      <alignment vertical="center"/>
    </xf>
    <xf numFmtId="43" fontId="7" fillId="4" borderId="20" xfId="1" applyFont="1" applyFill="1" applyBorder="1" applyAlignment="1">
      <alignment horizontal="right" vertical="center"/>
    </xf>
    <xf numFmtId="43" fontId="7" fillId="4" borderId="21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3" fontId="2" fillId="0" borderId="10" xfId="0" applyNumberFormat="1" applyFont="1" applyBorder="1" applyAlignment="1">
      <alignment vertical="center"/>
    </xf>
    <xf numFmtId="43" fontId="2" fillId="0" borderId="11" xfId="0" applyNumberFormat="1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43" fontId="6" fillId="0" borderId="11" xfId="1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vertical="center"/>
    </xf>
    <xf numFmtId="43" fontId="2" fillId="0" borderId="11" xfId="1" applyFont="1" applyFill="1" applyBorder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6" fillId="0" borderId="11" xfId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3" fontId="6" fillId="0" borderId="22" xfId="2" applyFont="1" applyFill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49" fontId="2" fillId="4" borderId="20" xfId="0" applyNumberFormat="1" applyFont="1" applyFill="1" applyBorder="1" applyAlignment="1">
      <alignment horizontal="center" vertical="center"/>
    </xf>
    <xf numFmtId="43" fontId="9" fillId="4" borderId="20" xfId="1" applyFont="1" applyFill="1" applyBorder="1" applyAlignment="1">
      <alignment vertical="center"/>
    </xf>
    <xf numFmtId="43" fontId="9" fillId="4" borderId="20" xfId="1" applyFont="1" applyFill="1" applyBorder="1" applyAlignment="1">
      <alignment horizontal="right" vertical="center"/>
    </xf>
    <xf numFmtId="43" fontId="6" fillId="2" borderId="23" xfId="2" applyFont="1" applyFill="1" applyBorder="1" applyAlignment="1">
      <alignment vertical="center"/>
    </xf>
    <xf numFmtId="43" fontId="2" fillId="0" borderId="24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6" fillId="0" borderId="11" xfId="0" applyFont="1" applyFill="1" applyBorder="1" applyAlignment="1">
      <alignment vertical="center"/>
    </xf>
    <xf numFmtId="43" fontId="6" fillId="2" borderId="11" xfId="1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43" fontId="7" fillId="4" borderId="21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3" fontId="6" fillId="0" borderId="10" xfId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43" fontId="2" fillId="2" borderId="11" xfId="1" applyFont="1" applyFill="1" applyBorder="1" applyAlignment="1">
      <alignment horizontal="right" vertical="center"/>
    </xf>
    <xf numFmtId="43" fontId="2" fillId="2" borderId="14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43" fontId="7" fillId="4" borderId="11" xfId="1" applyFont="1" applyFill="1" applyBorder="1" applyAlignment="1">
      <alignment vertical="center"/>
    </xf>
    <xf numFmtId="43" fontId="7" fillId="4" borderId="11" xfId="1" applyFont="1" applyFill="1" applyBorder="1" applyAlignment="1">
      <alignment horizontal="right" vertical="center"/>
    </xf>
    <xf numFmtId="43" fontId="7" fillId="4" borderId="14" xfId="0" applyNumberFormat="1" applyFont="1" applyFill="1" applyBorder="1" applyAlignment="1">
      <alignment vertical="center"/>
    </xf>
    <xf numFmtId="43" fontId="9" fillId="4" borderId="11" xfId="1" applyFont="1" applyFill="1" applyBorder="1" applyAlignment="1">
      <alignment vertical="center"/>
    </xf>
    <xf numFmtId="43" fontId="9" fillId="4" borderId="14" xfId="1" applyFont="1" applyFill="1" applyBorder="1" applyAlignment="1">
      <alignment vertical="center"/>
    </xf>
    <xf numFmtId="43" fontId="2" fillId="0" borderId="11" xfId="1" applyFont="1" applyFill="1" applyBorder="1" applyAlignment="1">
      <alignment horizontal="center" vertical="center"/>
    </xf>
    <xf numFmtId="43" fontId="2" fillId="0" borderId="11" xfId="1" applyFont="1" applyBorder="1"/>
    <xf numFmtId="43" fontId="2" fillId="0" borderId="11" xfId="1" applyFont="1" applyBorder="1" applyAlignment="1">
      <alignment horizontal="right"/>
    </xf>
    <xf numFmtId="43" fontId="9" fillId="4" borderId="11" xfId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center"/>
    </xf>
    <xf numFmtId="43" fontId="10" fillId="4" borderId="20" xfId="0" applyNumberFormat="1" applyFont="1" applyFill="1" applyBorder="1" applyAlignment="1">
      <alignment vertical="center"/>
    </xf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43" fontId="13" fillId="2" borderId="0" xfId="1" applyFont="1" applyFill="1" applyBorder="1" applyAlignment="1">
      <alignment horizontal="center" vertical="center"/>
    </xf>
    <xf numFmtId="43" fontId="13" fillId="2" borderId="0" xfId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3" fontId="15" fillId="2" borderId="0" xfId="2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top"/>
    </xf>
    <xf numFmtId="43" fontId="2" fillId="0" borderId="0" xfId="1" applyFont="1"/>
    <xf numFmtId="43" fontId="2" fillId="0" borderId="0" xfId="1" applyFont="1" applyAlignment="1">
      <alignment horizontal="right"/>
    </xf>
    <xf numFmtId="0" fontId="12" fillId="2" borderId="0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5</xdr:col>
      <xdr:colOff>895350</xdr:colOff>
      <xdr:row>5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34671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W179"/>
  <sheetViews>
    <sheetView tabSelected="1" topLeftCell="J141" zoomScaleNormal="100" zoomScaleSheetLayoutView="84" workbookViewId="0">
      <selection activeCell="K178" sqref="K178"/>
    </sheetView>
  </sheetViews>
  <sheetFormatPr baseColWidth="10" defaultColWidth="21.109375" defaultRowHeight="16.8" x14ac:dyDescent="0.3"/>
  <cols>
    <col min="1" max="1" width="7.88671875" style="1" bestFit="1" customWidth="1"/>
    <col min="2" max="2" width="8.6640625" style="3" customWidth="1"/>
    <col min="3" max="3" width="7" style="3" bestFit="1" customWidth="1"/>
    <col min="4" max="4" width="7.6640625" style="3" customWidth="1"/>
    <col min="5" max="5" width="7.5546875" style="3" bestFit="1" customWidth="1"/>
    <col min="6" max="6" width="61.109375" style="3" customWidth="1"/>
    <col min="7" max="7" width="21.33203125" style="3" customWidth="1"/>
    <col min="8" max="8" width="21.6640625" style="3" customWidth="1"/>
    <col min="9" max="9" width="14.44140625" style="3" hidden="1" customWidth="1"/>
    <col min="10" max="10" width="20" style="3" bestFit="1" customWidth="1"/>
    <col min="11" max="13" width="20" style="146" bestFit="1" customWidth="1"/>
    <col min="14" max="14" width="20" style="103" bestFit="1" customWidth="1"/>
    <col min="15" max="15" width="20.33203125" style="146" customWidth="1"/>
    <col min="16" max="16" width="19.88671875" style="146" customWidth="1"/>
    <col min="17" max="17" width="20.33203125" style="146" customWidth="1"/>
    <col min="18" max="18" width="8" style="146" hidden="1" customWidth="1"/>
    <col min="19" max="19" width="4.6640625" style="146" hidden="1" customWidth="1"/>
    <col min="20" max="20" width="4.44140625" style="147" hidden="1" customWidth="1"/>
    <col min="21" max="21" width="4.109375" style="146" hidden="1" customWidth="1"/>
    <col min="22" max="22" width="22.6640625" style="3" customWidth="1"/>
    <col min="23" max="23" width="19.109375" style="3" customWidth="1"/>
    <col min="24" max="16384" width="21.109375" style="3"/>
  </cols>
  <sheetData>
    <row r="1" spans="1:23" ht="27.75" customHeight="1" x14ac:dyDescent="0.3">
      <c r="B1" s="2"/>
      <c r="C1" s="2"/>
      <c r="D1" s="2"/>
      <c r="E1" s="2"/>
      <c r="F1" s="153" t="s">
        <v>0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23" ht="14.25" customHeight="1" x14ac:dyDescent="0.3">
      <c r="B2" s="2"/>
      <c r="C2" s="2"/>
      <c r="D2" s="2"/>
      <c r="E2" s="2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23" ht="0.75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7"/>
      <c r="O3" s="6"/>
      <c r="P3" s="6"/>
      <c r="Q3" s="6"/>
      <c r="R3" s="6"/>
      <c r="S3" s="6"/>
      <c r="T3" s="8"/>
      <c r="U3" s="6"/>
      <c r="V3" s="9"/>
    </row>
    <row r="4" spans="1:23" ht="21.75" customHeight="1" x14ac:dyDescent="0.3">
      <c r="A4" s="10"/>
      <c r="B4" s="11"/>
      <c r="C4" s="11"/>
      <c r="D4" s="11"/>
      <c r="E4" s="154" t="s">
        <v>1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5" spans="1:23" ht="24.75" customHeight="1" x14ac:dyDescent="0.3">
      <c r="A5" s="10"/>
      <c r="B5" s="11"/>
      <c r="C5" s="11"/>
      <c r="D5" s="11"/>
      <c r="E5" s="154" t="s">
        <v>2</v>
      </c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3" ht="17.25" customHeight="1" thickBot="1" x14ac:dyDescent="0.35">
      <c r="A6" s="12"/>
      <c r="B6" s="13"/>
      <c r="C6" s="13"/>
      <c r="D6" s="13"/>
      <c r="E6" s="154">
        <v>2022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3" s="23" customFormat="1" ht="33" customHeight="1" thickBot="1" x14ac:dyDescent="0.3">
      <c r="A7" s="14" t="s">
        <v>3</v>
      </c>
      <c r="B7" s="15" t="s">
        <v>4</v>
      </c>
      <c r="C7" s="16" t="s">
        <v>5</v>
      </c>
      <c r="D7" s="15" t="s">
        <v>6</v>
      </c>
      <c r="E7" s="16" t="s">
        <v>7</v>
      </c>
      <c r="F7" s="17" t="s">
        <v>8</v>
      </c>
      <c r="G7" s="18" t="s">
        <v>9</v>
      </c>
      <c r="H7" s="19" t="s">
        <v>10</v>
      </c>
      <c r="I7" s="20" t="s">
        <v>11</v>
      </c>
      <c r="J7" s="17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19</v>
      </c>
      <c r="R7" s="21" t="s">
        <v>20</v>
      </c>
      <c r="S7" s="21" t="s">
        <v>21</v>
      </c>
      <c r="T7" s="21" t="s">
        <v>22</v>
      </c>
      <c r="U7" s="21" t="s">
        <v>23</v>
      </c>
      <c r="V7" s="22" t="s">
        <v>24</v>
      </c>
    </row>
    <row r="8" spans="1:23" s="30" customFormat="1" ht="33" customHeight="1" thickTop="1" thickBot="1" x14ac:dyDescent="0.3">
      <c r="A8" s="24"/>
      <c r="B8" s="25"/>
      <c r="C8" s="25"/>
      <c r="D8" s="25"/>
      <c r="E8" s="25"/>
      <c r="F8" s="26" t="s">
        <v>25</v>
      </c>
      <c r="G8" s="27">
        <f>SUM(G9:G28)</f>
        <v>390250613</v>
      </c>
      <c r="H8" s="27">
        <f>SUM(H9:H28)</f>
        <v>50000000</v>
      </c>
      <c r="I8" s="27">
        <f>SUM(I9:I28)</f>
        <v>440250613</v>
      </c>
      <c r="J8" s="27">
        <f t="shared" ref="J8:U8" si="0">SUM(J9:J28)</f>
        <v>24156055.529999997</v>
      </c>
      <c r="K8" s="27">
        <f t="shared" si="0"/>
        <v>29583097.27</v>
      </c>
      <c r="L8" s="27">
        <f t="shared" si="0"/>
        <v>30757565.120000001</v>
      </c>
      <c r="M8" s="27">
        <f t="shared" si="0"/>
        <v>32997581.329999998</v>
      </c>
      <c r="N8" s="27">
        <f t="shared" si="0"/>
        <v>38650371.339999996</v>
      </c>
      <c r="O8" s="27">
        <f t="shared" si="0"/>
        <v>37936796.479999997</v>
      </c>
      <c r="P8" s="27">
        <f t="shared" si="0"/>
        <v>30566668.369999994</v>
      </c>
      <c r="Q8" s="27">
        <f t="shared" si="0"/>
        <v>36631232.390000001</v>
      </c>
      <c r="R8" s="27">
        <f t="shared" si="0"/>
        <v>0</v>
      </c>
      <c r="S8" s="27">
        <f t="shared" si="0"/>
        <v>0</v>
      </c>
      <c r="T8" s="27">
        <f t="shared" si="0"/>
        <v>0</v>
      </c>
      <c r="U8" s="27">
        <f t="shared" si="0"/>
        <v>0</v>
      </c>
      <c r="V8" s="28">
        <f>SUM(J8:U8)</f>
        <v>261279367.82999998</v>
      </c>
      <c r="W8" s="29"/>
    </row>
    <row r="9" spans="1:23" s="43" customFormat="1" ht="25.5" customHeight="1" x14ac:dyDescent="0.25">
      <c r="A9" s="31">
        <v>2</v>
      </c>
      <c r="B9" s="32">
        <v>1</v>
      </c>
      <c r="C9" s="32">
        <v>1</v>
      </c>
      <c r="D9" s="32">
        <v>1</v>
      </c>
      <c r="E9" s="33" t="s">
        <v>26</v>
      </c>
      <c r="F9" s="34" t="s">
        <v>27</v>
      </c>
      <c r="G9" s="35">
        <f>148854412</f>
        <v>148854412</v>
      </c>
      <c r="H9" s="36">
        <v>40000000</v>
      </c>
      <c r="I9" s="37">
        <f>SUM(G9:H9)</f>
        <v>188854412</v>
      </c>
      <c r="J9" s="38">
        <v>16684033.33</v>
      </c>
      <c r="K9" s="39">
        <v>17130885.23</v>
      </c>
      <c r="L9" s="38">
        <f>16699900-16433.92</f>
        <v>16683466.08</v>
      </c>
      <c r="M9" s="38">
        <v>18038900</v>
      </c>
      <c r="N9" s="38">
        <v>17415900</v>
      </c>
      <c r="O9" s="38">
        <v>17824900</v>
      </c>
      <c r="P9" s="38">
        <v>17680893.079999998</v>
      </c>
      <c r="Q9" s="38">
        <v>17976400</v>
      </c>
      <c r="R9" s="38"/>
      <c r="S9" s="38"/>
      <c r="T9" s="40"/>
      <c r="U9" s="38"/>
      <c r="V9" s="41">
        <f>SUM(J9:U9)</f>
        <v>139435377.72</v>
      </c>
      <c r="W9" s="42"/>
    </row>
    <row r="10" spans="1:23" s="43" customFormat="1" ht="25.5" customHeight="1" x14ac:dyDescent="0.25">
      <c r="A10" s="44">
        <v>2</v>
      </c>
      <c r="B10" s="45">
        <v>1</v>
      </c>
      <c r="C10" s="45">
        <v>1</v>
      </c>
      <c r="D10" s="45">
        <v>2</v>
      </c>
      <c r="E10" s="46" t="s">
        <v>26</v>
      </c>
      <c r="F10" s="47" t="s">
        <v>28</v>
      </c>
      <c r="G10" s="35">
        <v>67000000</v>
      </c>
      <c r="H10" s="36">
        <v>0</v>
      </c>
      <c r="I10" s="37">
        <f t="shared" ref="I10:I28" si="1">SUM(G10:H10)</f>
        <v>67000000</v>
      </c>
      <c r="J10" s="48">
        <v>1510000</v>
      </c>
      <c r="K10" s="49">
        <v>3141000</v>
      </c>
      <c r="L10" s="48">
        <v>3166000</v>
      </c>
      <c r="M10" s="48">
        <v>3804000</v>
      </c>
      <c r="N10" s="48">
        <v>3902000</v>
      </c>
      <c r="O10" s="48">
        <v>3424000</v>
      </c>
      <c r="P10" s="48">
        <v>3294000</v>
      </c>
      <c r="Q10" s="48">
        <v>3114000</v>
      </c>
      <c r="R10" s="48"/>
      <c r="S10" s="48"/>
      <c r="T10" s="50"/>
      <c r="U10" s="48"/>
      <c r="V10" s="51">
        <f>SUM(J10:U10)</f>
        <v>25355000</v>
      </c>
      <c r="W10" s="42"/>
    </row>
    <row r="11" spans="1:23" s="43" customFormat="1" ht="25.5" customHeight="1" x14ac:dyDescent="0.25">
      <c r="A11" s="44">
        <v>2</v>
      </c>
      <c r="B11" s="45">
        <v>1</v>
      </c>
      <c r="C11" s="45">
        <v>1</v>
      </c>
      <c r="D11" s="45">
        <v>2</v>
      </c>
      <c r="E11" s="46" t="s">
        <v>29</v>
      </c>
      <c r="F11" s="52" t="s">
        <v>30</v>
      </c>
      <c r="G11" s="35">
        <v>23000000</v>
      </c>
      <c r="H11" s="36">
        <v>0</v>
      </c>
      <c r="I11" s="37">
        <f t="shared" si="1"/>
        <v>23000000</v>
      </c>
      <c r="J11" s="48">
        <v>0</v>
      </c>
      <c r="K11" s="49">
        <v>1735000</v>
      </c>
      <c r="L11" s="53">
        <v>0</v>
      </c>
      <c r="M11" s="48">
        <f>2025000-15000</f>
        <v>2010000</v>
      </c>
      <c r="N11" s="48">
        <v>6135000</v>
      </c>
      <c r="O11" s="48">
        <f>7905000-5000</f>
        <v>7900000</v>
      </c>
      <c r="P11" s="48">
        <v>0</v>
      </c>
      <c r="Q11" s="48">
        <v>4690000</v>
      </c>
      <c r="R11" s="48"/>
      <c r="S11" s="48"/>
      <c r="T11" s="50"/>
      <c r="U11" s="48"/>
      <c r="V11" s="54">
        <f t="shared" ref="V11:V73" si="2">SUM(J11:U11)</f>
        <v>22470000</v>
      </c>
      <c r="W11" s="42"/>
    </row>
    <row r="12" spans="1:23" s="43" customFormat="1" ht="25.5" customHeight="1" x14ac:dyDescent="0.25">
      <c r="A12" s="44">
        <v>2</v>
      </c>
      <c r="B12" s="45">
        <v>1</v>
      </c>
      <c r="C12" s="45">
        <v>1</v>
      </c>
      <c r="D12" s="45">
        <v>3</v>
      </c>
      <c r="E12" s="46" t="s">
        <v>26</v>
      </c>
      <c r="F12" s="47" t="s">
        <v>31</v>
      </c>
      <c r="G12" s="35">
        <v>36000000</v>
      </c>
      <c r="H12" s="36">
        <v>0</v>
      </c>
      <c r="I12" s="37">
        <f t="shared" si="1"/>
        <v>36000000</v>
      </c>
      <c r="J12" s="48">
        <v>3048250</v>
      </c>
      <c r="K12" s="49">
        <v>3048250</v>
      </c>
      <c r="L12" s="48">
        <v>3048250</v>
      </c>
      <c r="M12" s="48">
        <v>3048250</v>
      </c>
      <c r="N12" s="48">
        <v>3048250</v>
      </c>
      <c r="O12" s="48">
        <v>3034250</v>
      </c>
      <c r="P12" s="48">
        <v>3034250</v>
      </c>
      <c r="Q12" s="48">
        <v>3034250</v>
      </c>
      <c r="R12" s="48"/>
      <c r="S12" s="48"/>
      <c r="T12" s="50"/>
      <c r="U12" s="48"/>
      <c r="V12" s="54">
        <f t="shared" si="2"/>
        <v>24344000</v>
      </c>
      <c r="W12" s="55"/>
    </row>
    <row r="13" spans="1:23" s="43" customFormat="1" ht="25.5" customHeight="1" x14ac:dyDescent="0.25">
      <c r="A13" s="44">
        <v>2</v>
      </c>
      <c r="B13" s="45">
        <v>1</v>
      </c>
      <c r="C13" s="45">
        <v>1</v>
      </c>
      <c r="D13" s="45">
        <v>4</v>
      </c>
      <c r="E13" s="46" t="s">
        <v>26</v>
      </c>
      <c r="F13" s="47" t="s">
        <v>32</v>
      </c>
      <c r="G13" s="35">
        <v>21071201</v>
      </c>
      <c r="H13" s="36">
        <v>0</v>
      </c>
      <c r="I13" s="37">
        <f t="shared" si="1"/>
        <v>21071201</v>
      </c>
      <c r="J13" s="48">
        <v>0</v>
      </c>
      <c r="K13" s="49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/>
      <c r="S13" s="48"/>
      <c r="T13" s="50"/>
      <c r="U13" s="48"/>
      <c r="V13" s="54">
        <f t="shared" si="2"/>
        <v>0</v>
      </c>
    </row>
    <row r="14" spans="1:23" s="43" customFormat="1" ht="25.5" customHeight="1" x14ac:dyDescent="0.25">
      <c r="A14" s="44">
        <v>2</v>
      </c>
      <c r="B14" s="45">
        <v>1</v>
      </c>
      <c r="C14" s="45">
        <v>1</v>
      </c>
      <c r="D14" s="45">
        <v>5</v>
      </c>
      <c r="E14" s="46" t="s">
        <v>33</v>
      </c>
      <c r="F14" s="47" t="s">
        <v>34</v>
      </c>
      <c r="G14" s="35">
        <v>4000000</v>
      </c>
      <c r="H14" s="36">
        <v>0</v>
      </c>
      <c r="I14" s="37">
        <f t="shared" si="1"/>
        <v>4000000</v>
      </c>
      <c r="J14" s="48">
        <v>322147.20000000001</v>
      </c>
      <c r="K14" s="49">
        <v>209970.19</v>
      </c>
      <c r="L14" s="48">
        <v>373642.89</v>
      </c>
      <c r="M14" s="48">
        <v>125924.13</v>
      </c>
      <c r="N14" s="48">
        <f>610631.03-131531.99</f>
        <v>479099.04000000004</v>
      </c>
      <c r="O14" s="48">
        <v>525197.34</v>
      </c>
      <c r="P14" s="48">
        <v>300706.8</v>
      </c>
      <c r="Q14" s="48">
        <v>15303.57</v>
      </c>
      <c r="R14" s="48"/>
      <c r="S14" s="48"/>
      <c r="T14" s="50"/>
      <c r="U14" s="48"/>
      <c r="V14" s="54">
        <f t="shared" si="2"/>
        <v>2351991.1599999997</v>
      </c>
      <c r="W14" s="42"/>
    </row>
    <row r="15" spans="1:23" s="43" customFormat="1" ht="25.5" customHeight="1" x14ac:dyDescent="0.25">
      <c r="A15" s="44">
        <v>2</v>
      </c>
      <c r="B15" s="45">
        <v>1</v>
      </c>
      <c r="C15" s="45">
        <v>1</v>
      </c>
      <c r="D15" s="45">
        <v>6</v>
      </c>
      <c r="E15" s="46" t="s">
        <v>26</v>
      </c>
      <c r="F15" s="47" t="s">
        <v>35</v>
      </c>
      <c r="G15" s="35">
        <v>6000000</v>
      </c>
      <c r="H15" s="36">
        <v>0</v>
      </c>
      <c r="I15" s="37">
        <f t="shared" si="1"/>
        <v>6000000</v>
      </c>
      <c r="J15" s="48">
        <v>0</v>
      </c>
      <c r="K15" s="48">
        <v>127967.45</v>
      </c>
      <c r="L15" s="48">
        <v>60543.26</v>
      </c>
      <c r="M15" s="48">
        <v>292594.2</v>
      </c>
      <c r="N15" s="48">
        <v>125906.2</v>
      </c>
      <c r="O15" s="48">
        <v>105582.44</v>
      </c>
      <c r="P15" s="48">
        <v>211805.74</v>
      </c>
      <c r="Q15" s="48">
        <v>120894.54</v>
      </c>
      <c r="R15" s="48"/>
      <c r="S15" s="48"/>
      <c r="T15" s="50"/>
      <c r="U15" s="48"/>
      <c r="V15" s="54">
        <f t="shared" si="2"/>
        <v>1045293.8300000001</v>
      </c>
      <c r="W15" s="42"/>
    </row>
    <row r="16" spans="1:23" s="43" customFormat="1" ht="25.5" customHeight="1" x14ac:dyDescent="0.25">
      <c r="A16" s="44">
        <v>2</v>
      </c>
      <c r="B16" s="45">
        <v>1</v>
      </c>
      <c r="C16" s="45">
        <v>2</v>
      </c>
      <c r="D16" s="45">
        <v>2</v>
      </c>
      <c r="E16" s="46" t="s">
        <v>26</v>
      </c>
      <c r="F16" s="52" t="s">
        <v>36</v>
      </c>
      <c r="G16" s="35">
        <v>500000</v>
      </c>
      <c r="H16" s="36">
        <v>0</v>
      </c>
      <c r="I16" s="37">
        <f t="shared" si="1"/>
        <v>500000</v>
      </c>
      <c r="J16" s="48">
        <v>30000</v>
      </c>
      <c r="K16" s="49">
        <v>30000</v>
      </c>
      <c r="L16" s="48">
        <v>30000</v>
      </c>
      <c r="M16" s="48">
        <v>36000</v>
      </c>
      <c r="N16" s="48">
        <v>36000</v>
      </c>
      <c r="O16" s="48">
        <v>36000</v>
      </c>
      <c r="P16" s="48">
        <v>36000</v>
      </c>
      <c r="Q16" s="48">
        <v>42000</v>
      </c>
      <c r="R16" s="48"/>
      <c r="S16" s="48"/>
      <c r="T16" s="50"/>
      <c r="U16" s="48"/>
      <c r="V16" s="54">
        <f t="shared" si="2"/>
        <v>276000</v>
      </c>
      <c r="W16" s="42"/>
    </row>
    <row r="17" spans="1:23" s="43" customFormat="1" ht="25.5" customHeight="1" x14ac:dyDescent="0.25">
      <c r="A17" s="44">
        <v>2</v>
      </c>
      <c r="B17" s="45">
        <v>1</v>
      </c>
      <c r="C17" s="45">
        <v>2</v>
      </c>
      <c r="D17" s="45">
        <v>2</v>
      </c>
      <c r="E17" s="46" t="s">
        <v>33</v>
      </c>
      <c r="F17" s="52" t="s">
        <v>37</v>
      </c>
      <c r="G17" s="35">
        <v>500000</v>
      </c>
      <c r="H17" s="36">
        <v>0</v>
      </c>
      <c r="I17" s="37">
        <f t="shared" si="1"/>
        <v>500000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/>
      <c r="S17" s="48"/>
      <c r="T17" s="50"/>
      <c r="U17" s="48"/>
      <c r="V17" s="54">
        <f t="shared" si="2"/>
        <v>0</v>
      </c>
    </row>
    <row r="18" spans="1:23" s="43" customFormat="1" ht="25.5" customHeight="1" x14ac:dyDescent="0.25">
      <c r="A18" s="44">
        <v>2</v>
      </c>
      <c r="B18" s="45">
        <v>1</v>
      </c>
      <c r="C18" s="45">
        <v>2</v>
      </c>
      <c r="D18" s="45">
        <v>2</v>
      </c>
      <c r="E18" s="46" t="s">
        <v>38</v>
      </c>
      <c r="F18" s="52" t="s">
        <v>39</v>
      </c>
      <c r="G18" s="35">
        <v>14000000</v>
      </c>
      <c r="H18" s="36">
        <v>0</v>
      </c>
      <c r="I18" s="37">
        <f t="shared" si="1"/>
        <v>14000000</v>
      </c>
      <c r="J18" s="48">
        <v>862500</v>
      </c>
      <c r="K18" s="49">
        <v>832500</v>
      </c>
      <c r="L18" s="48">
        <v>829500</v>
      </c>
      <c r="M18" s="48">
        <v>829500</v>
      </c>
      <c r="N18" s="48">
        <v>844500</v>
      </c>
      <c r="O18" s="48">
        <v>854500</v>
      </c>
      <c r="P18" s="48">
        <v>854500</v>
      </c>
      <c r="Q18" s="48">
        <v>854500</v>
      </c>
      <c r="R18" s="48"/>
      <c r="S18" s="48"/>
      <c r="T18" s="50"/>
      <c r="U18" s="48"/>
      <c r="V18" s="54">
        <f t="shared" si="2"/>
        <v>6762000</v>
      </c>
      <c r="W18" s="42"/>
    </row>
    <row r="19" spans="1:23" s="43" customFormat="1" ht="25.5" customHeight="1" x14ac:dyDescent="0.25">
      <c r="A19" s="44">
        <v>2</v>
      </c>
      <c r="B19" s="45">
        <v>1</v>
      </c>
      <c r="C19" s="45">
        <v>2</v>
      </c>
      <c r="D19" s="45">
        <v>2</v>
      </c>
      <c r="E19" s="46" t="s">
        <v>29</v>
      </c>
      <c r="F19" s="52" t="s">
        <v>40</v>
      </c>
      <c r="G19" s="56">
        <f>1000000</f>
        <v>1000000</v>
      </c>
      <c r="H19" s="57">
        <v>0</v>
      </c>
      <c r="I19" s="37">
        <f t="shared" si="1"/>
        <v>1000000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440000</v>
      </c>
      <c r="P19" s="48">
        <v>0</v>
      </c>
      <c r="Q19" s="48">
        <v>0</v>
      </c>
      <c r="R19" s="48"/>
      <c r="S19" s="48"/>
      <c r="T19" s="50"/>
      <c r="U19" s="48"/>
      <c r="V19" s="54">
        <f t="shared" si="2"/>
        <v>440000</v>
      </c>
    </row>
    <row r="20" spans="1:23" s="43" customFormat="1" ht="25.5" customHeight="1" x14ac:dyDescent="0.25">
      <c r="A20" s="44">
        <v>2</v>
      </c>
      <c r="B20" s="45">
        <v>1</v>
      </c>
      <c r="C20" s="45">
        <v>2</v>
      </c>
      <c r="D20" s="45">
        <v>2</v>
      </c>
      <c r="E20" s="46" t="s">
        <v>41</v>
      </c>
      <c r="F20" s="52" t="s">
        <v>42</v>
      </c>
      <c r="G20" s="56">
        <v>1000000</v>
      </c>
      <c r="H20" s="57">
        <v>0</v>
      </c>
      <c r="I20" s="37">
        <f t="shared" si="1"/>
        <v>1000000</v>
      </c>
      <c r="J20" s="48">
        <v>185625</v>
      </c>
      <c r="K20" s="49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/>
      <c r="S20" s="48"/>
      <c r="T20" s="50"/>
      <c r="U20" s="48"/>
      <c r="V20" s="54">
        <f t="shared" si="2"/>
        <v>185625</v>
      </c>
    </row>
    <row r="21" spans="1:23" s="43" customFormat="1" ht="25.5" customHeight="1" x14ac:dyDescent="0.25">
      <c r="A21" s="44">
        <v>2</v>
      </c>
      <c r="B21" s="45">
        <v>1</v>
      </c>
      <c r="C21" s="45">
        <v>2</v>
      </c>
      <c r="D21" s="45">
        <v>2</v>
      </c>
      <c r="E21" s="46" t="s">
        <v>43</v>
      </c>
      <c r="F21" s="52" t="s">
        <v>44</v>
      </c>
      <c r="G21" s="56">
        <v>2000000</v>
      </c>
      <c r="H21" s="57">
        <v>0</v>
      </c>
      <c r="I21" s="37">
        <f t="shared" si="1"/>
        <v>2000000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/>
      <c r="S21" s="48"/>
      <c r="T21" s="50"/>
      <c r="U21" s="48"/>
      <c r="V21" s="54">
        <f t="shared" si="2"/>
        <v>0</v>
      </c>
    </row>
    <row r="22" spans="1:23" s="43" customFormat="1" ht="25.5" customHeight="1" x14ac:dyDescent="0.25">
      <c r="A22" s="44">
        <v>2</v>
      </c>
      <c r="B22" s="45">
        <v>1</v>
      </c>
      <c r="C22" s="45">
        <v>3</v>
      </c>
      <c r="D22" s="45">
        <v>1</v>
      </c>
      <c r="E22" s="46" t="s">
        <v>26</v>
      </c>
      <c r="F22" s="47" t="s">
        <v>45</v>
      </c>
      <c r="G22" s="35">
        <f>25125000</f>
        <v>25125000</v>
      </c>
      <c r="H22" s="36">
        <v>0</v>
      </c>
      <c r="I22" s="37">
        <f t="shared" si="1"/>
        <v>25125000</v>
      </c>
      <c r="J22" s="48">
        <v>1320000</v>
      </c>
      <c r="K22" s="49">
        <v>0</v>
      </c>
      <c r="L22" s="48">
        <v>2920000</v>
      </c>
      <c r="M22" s="48">
        <v>1240000</v>
      </c>
      <c r="N22" s="48">
        <f>2880000-40000</f>
        <v>2840000</v>
      </c>
      <c r="O22" s="48">
        <v>0</v>
      </c>
      <c r="P22" s="48">
        <v>1320000</v>
      </c>
      <c r="Q22" s="48">
        <v>2960000</v>
      </c>
      <c r="R22" s="48"/>
      <c r="S22" s="48"/>
      <c r="T22" s="50"/>
      <c r="U22" s="48"/>
      <c r="V22" s="54">
        <f t="shared" si="2"/>
        <v>12600000</v>
      </c>
    </row>
    <row r="23" spans="1:23" s="43" customFormat="1" ht="25.5" customHeight="1" x14ac:dyDescent="0.25">
      <c r="A23" s="44">
        <v>2</v>
      </c>
      <c r="B23" s="45">
        <v>1</v>
      </c>
      <c r="C23" s="45">
        <v>3</v>
      </c>
      <c r="D23" s="45">
        <v>2</v>
      </c>
      <c r="E23" s="46" t="s">
        <v>26</v>
      </c>
      <c r="F23" s="47" t="s">
        <v>46</v>
      </c>
      <c r="G23" s="56">
        <v>700000</v>
      </c>
      <c r="H23" s="57">
        <v>1000000</v>
      </c>
      <c r="I23" s="37">
        <f t="shared" si="1"/>
        <v>1700000</v>
      </c>
      <c r="J23" s="48">
        <v>193500</v>
      </c>
      <c r="K23" s="49">
        <v>193500</v>
      </c>
      <c r="L23" s="48">
        <v>193500</v>
      </c>
      <c r="M23" s="48">
        <v>193500</v>
      </c>
      <c r="N23" s="48">
        <v>175500</v>
      </c>
      <c r="O23" s="48">
        <v>181500</v>
      </c>
      <c r="P23" s="48">
        <v>181500</v>
      </c>
      <c r="Q23" s="48">
        <v>210000</v>
      </c>
      <c r="R23" s="48"/>
      <c r="S23" s="48"/>
      <c r="T23" s="50"/>
      <c r="U23" s="48"/>
      <c r="V23" s="54">
        <f t="shared" si="2"/>
        <v>1522500</v>
      </c>
    </row>
    <row r="24" spans="1:23" s="43" customFormat="1" ht="25.5" customHeight="1" x14ac:dyDescent="0.25">
      <c r="A24" s="44">
        <v>2</v>
      </c>
      <c r="B24" s="45">
        <v>1</v>
      </c>
      <c r="C24" s="45">
        <v>4</v>
      </c>
      <c r="D24" s="45">
        <v>2</v>
      </c>
      <c r="E24" s="46" t="s">
        <v>47</v>
      </c>
      <c r="F24" s="47" t="s">
        <v>48</v>
      </c>
      <c r="G24" s="35">
        <v>200000</v>
      </c>
      <c r="H24" s="36">
        <v>0</v>
      </c>
      <c r="I24" s="37">
        <f t="shared" si="1"/>
        <v>200000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/>
      <c r="S24" s="48"/>
      <c r="T24" s="50"/>
      <c r="U24" s="48"/>
      <c r="V24" s="54">
        <f t="shared" si="2"/>
        <v>0</v>
      </c>
    </row>
    <row r="25" spans="1:23" s="43" customFormat="1" ht="25.5" customHeight="1" x14ac:dyDescent="0.25">
      <c r="A25" s="44">
        <v>2</v>
      </c>
      <c r="B25" s="45">
        <v>1</v>
      </c>
      <c r="C25" s="45">
        <v>4</v>
      </c>
      <c r="D25" s="45">
        <v>2</v>
      </c>
      <c r="E25" s="46" t="s">
        <v>49</v>
      </c>
      <c r="F25" s="47" t="s">
        <v>50</v>
      </c>
      <c r="G25" s="35">
        <v>6000000</v>
      </c>
      <c r="H25" s="36">
        <f>10000000-1000000</f>
        <v>9000000</v>
      </c>
      <c r="I25" s="37">
        <f t="shared" si="1"/>
        <v>15000000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/>
      <c r="S25" s="48"/>
      <c r="T25" s="50"/>
      <c r="U25" s="48"/>
      <c r="V25" s="54">
        <f t="shared" si="2"/>
        <v>0</v>
      </c>
    </row>
    <row r="26" spans="1:23" s="43" customFormat="1" ht="25.5" customHeight="1" x14ac:dyDescent="0.25">
      <c r="A26" s="44">
        <v>2</v>
      </c>
      <c r="B26" s="45">
        <v>1</v>
      </c>
      <c r="C26" s="45">
        <v>5</v>
      </c>
      <c r="D26" s="45">
        <v>1</v>
      </c>
      <c r="E26" s="46" t="s">
        <v>26</v>
      </c>
      <c r="F26" s="58" t="s">
        <v>51</v>
      </c>
      <c r="G26" s="35">
        <v>15000000</v>
      </c>
      <c r="H26" s="36">
        <v>0</v>
      </c>
      <c r="I26" s="37">
        <f t="shared" si="1"/>
        <v>15000000</v>
      </c>
      <c r="J26" s="48">
        <v>0</v>
      </c>
      <c r="K26" s="49">
        <v>1454940.65</v>
      </c>
      <c r="L26" s="48">
        <v>1603330.98</v>
      </c>
      <c r="M26" s="48">
        <v>1569515.05</v>
      </c>
      <c r="N26" s="48">
        <v>1695078.95</v>
      </c>
      <c r="O26" s="48">
        <v>1677566.65</v>
      </c>
      <c r="P26" s="48">
        <v>1695646.15</v>
      </c>
      <c r="Q26" s="48">
        <v>1677876.35</v>
      </c>
      <c r="R26" s="48"/>
      <c r="S26" s="48"/>
      <c r="T26" s="50"/>
      <c r="U26" s="48"/>
      <c r="V26" s="54">
        <f t="shared" si="2"/>
        <v>11373954.779999999</v>
      </c>
    </row>
    <row r="27" spans="1:23" s="43" customFormat="1" ht="25.5" customHeight="1" x14ac:dyDescent="0.25">
      <c r="A27" s="44">
        <v>2</v>
      </c>
      <c r="B27" s="45">
        <v>1</v>
      </c>
      <c r="C27" s="45">
        <v>5</v>
      </c>
      <c r="D27" s="45">
        <v>2</v>
      </c>
      <c r="E27" s="46" t="s">
        <v>26</v>
      </c>
      <c r="F27" s="58" t="s">
        <v>52</v>
      </c>
      <c r="G27" s="35">
        <v>15500000</v>
      </c>
      <c r="H27" s="36">
        <v>0</v>
      </c>
      <c r="I27" s="37">
        <f t="shared" si="1"/>
        <v>15500000</v>
      </c>
      <c r="J27" s="48">
        <v>0</v>
      </c>
      <c r="K27" s="49">
        <v>1491276.9</v>
      </c>
      <c r="L27" s="48">
        <v>1639876.54</v>
      </c>
      <c r="M27" s="48">
        <v>1606012.9</v>
      </c>
      <c r="N27" s="48">
        <v>1731753.9</v>
      </c>
      <c r="O27" s="48">
        <v>1714216.9</v>
      </c>
      <c r="P27" s="48">
        <v>1735587.9</v>
      </c>
      <c r="Q27" s="48">
        <v>1716133.41</v>
      </c>
      <c r="R27" s="48"/>
      <c r="S27" s="48"/>
      <c r="T27" s="50"/>
      <c r="U27" s="48"/>
      <c r="V27" s="54">
        <f t="shared" si="2"/>
        <v>11634858.450000001</v>
      </c>
    </row>
    <row r="28" spans="1:23" s="43" customFormat="1" ht="25.5" customHeight="1" thickBot="1" x14ac:dyDescent="0.3">
      <c r="A28" s="59">
        <v>2</v>
      </c>
      <c r="B28" s="60">
        <v>1</v>
      </c>
      <c r="C28" s="60">
        <v>5</v>
      </c>
      <c r="D28" s="60">
        <v>3</v>
      </c>
      <c r="E28" s="61" t="s">
        <v>26</v>
      </c>
      <c r="F28" s="62" t="s">
        <v>53</v>
      </c>
      <c r="G28" s="35">
        <v>2800000</v>
      </c>
      <c r="H28" s="36">
        <v>0</v>
      </c>
      <c r="I28" s="37">
        <f t="shared" si="1"/>
        <v>2800000</v>
      </c>
      <c r="J28" s="63">
        <v>0</v>
      </c>
      <c r="K28" s="64">
        <v>187806.85</v>
      </c>
      <c r="L28" s="63">
        <v>209455.37</v>
      </c>
      <c r="M28" s="63">
        <v>203385.05</v>
      </c>
      <c r="N28" s="63">
        <v>221383.25</v>
      </c>
      <c r="O28" s="63">
        <v>219083.15</v>
      </c>
      <c r="P28" s="63">
        <v>221778.7</v>
      </c>
      <c r="Q28" s="63">
        <v>219874.52</v>
      </c>
      <c r="R28" s="63"/>
      <c r="S28" s="63"/>
      <c r="T28" s="65"/>
      <c r="U28" s="63"/>
      <c r="V28" s="66">
        <f t="shared" si="2"/>
        <v>1482766.8900000001</v>
      </c>
    </row>
    <row r="29" spans="1:23" s="43" customFormat="1" ht="15" customHeight="1" thickBot="1" x14ac:dyDescent="0.3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9"/>
      <c r="L29" s="69"/>
      <c r="M29" s="69"/>
      <c r="N29" s="69"/>
      <c r="O29" s="69"/>
      <c r="P29" s="69"/>
      <c r="Q29" s="69"/>
      <c r="R29" s="69"/>
      <c r="S29" s="69"/>
      <c r="T29" s="70"/>
      <c r="U29" s="69"/>
      <c r="V29" s="71"/>
    </row>
    <row r="30" spans="1:23" s="43" customFormat="1" ht="28.5" customHeight="1" thickBot="1" x14ac:dyDescent="0.3">
      <c r="A30" s="72"/>
      <c r="B30" s="73"/>
      <c r="C30" s="73"/>
      <c r="D30" s="73"/>
      <c r="E30" s="73"/>
      <c r="F30" s="73" t="s">
        <v>54</v>
      </c>
      <c r="G30" s="74">
        <f t="shared" ref="G30:U30" si="3">SUM(G31:G73)</f>
        <v>109733000</v>
      </c>
      <c r="H30" s="74">
        <f t="shared" si="3"/>
        <v>109453720</v>
      </c>
      <c r="I30" s="74">
        <f t="shared" si="3"/>
        <v>219186720</v>
      </c>
      <c r="J30" s="75">
        <f t="shared" si="3"/>
        <v>5842100.79</v>
      </c>
      <c r="K30" s="76">
        <f t="shared" si="3"/>
        <v>4624268.32</v>
      </c>
      <c r="L30" s="76">
        <f t="shared" si="3"/>
        <v>5758847.1599999992</v>
      </c>
      <c r="M30" s="76">
        <f t="shared" si="3"/>
        <v>6112225.3700000001</v>
      </c>
      <c r="N30" s="76">
        <f t="shared" si="3"/>
        <v>5947500.0900000008</v>
      </c>
      <c r="O30" s="76">
        <f t="shared" si="3"/>
        <v>5956087.1599999992</v>
      </c>
      <c r="P30" s="76">
        <f t="shared" si="3"/>
        <v>7173738.6799999988</v>
      </c>
      <c r="Q30" s="76">
        <f t="shared" si="3"/>
        <v>10265340.289999999</v>
      </c>
      <c r="R30" s="76">
        <f t="shared" si="3"/>
        <v>0</v>
      </c>
      <c r="S30" s="76">
        <f t="shared" si="3"/>
        <v>0</v>
      </c>
      <c r="T30" s="77">
        <f t="shared" si="3"/>
        <v>0</v>
      </c>
      <c r="U30" s="76">
        <f t="shared" si="3"/>
        <v>0</v>
      </c>
      <c r="V30" s="78">
        <f>SUM(J30:U30)</f>
        <v>51680107.859999999</v>
      </c>
      <c r="W30" s="42"/>
    </row>
    <row r="31" spans="1:23" s="43" customFormat="1" ht="24.75" customHeight="1" x14ac:dyDescent="0.25">
      <c r="A31" s="31">
        <v>2</v>
      </c>
      <c r="B31" s="32">
        <v>2</v>
      </c>
      <c r="C31" s="32">
        <v>1</v>
      </c>
      <c r="D31" s="32">
        <v>2</v>
      </c>
      <c r="E31" s="33" t="s">
        <v>26</v>
      </c>
      <c r="F31" s="79" t="s">
        <v>55</v>
      </c>
      <c r="G31" s="35">
        <v>2500000</v>
      </c>
      <c r="H31" s="36">
        <v>0</v>
      </c>
      <c r="I31" s="37">
        <f t="shared" ref="I31:I73" si="4">SUM(G31:H31)</f>
        <v>2500000</v>
      </c>
      <c r="J31" s="80">
        <v>175606.06</v>
      </c>
      <c r="K31" s="38">
        <v>280071.28999999998</v>
      </c>
      <c r="L31" s="38">
        <v>185129.33</v>
      </c>
      <c r="M31" s="38">
        <v>298790.15000000002</v>
      </c>
      <c r="N31" s="38">
        <v>400699.27</v>
      </c>
      <c r="O31" s="38">
        <v>197805.39</v>
      </c>
      <c r="P31" s="38">
        <v>209462.89</v>
      </c>
      <c r="Q31" s="38">
        <v>0</v>
      </c>
      <c r="R31" s="38"/>
      <c r="S31" s="38"/>
      <c r="T31" s="40"/>
      <c r="U31" s="38"/>
      <c r="V31" s="41">
        <f t="shared" si="2"/>
        <v>1747564.3800000004</v>
      </c>
      <c r="W31" s="42"/>
    </row>
    <row r="32" spans="1:23" s="43" customFormat="1" ht="24.75" customHeight="1" x14ac:dyDescent="0.25">
      <c r="A32" s="44">
        <v>2</v>
      </c>
      <c r="B32" s="45">
        <v>2</v>
      </c>
      <c r="C32" s="45">
        <v>1</v>
      </c>
      <c r="D32" s="45">
        <v>3</v>
      </c>
      <c r="E32" s="46" t="s">
        <v>26</v>
      </c>
      <c r="F32" s="58" t="s">
        <v>56</v>
      </c>
      <c r="G32" s="35">
        <v>3500000</v>
      </c>
      <c r="H32" s="36">
        <v>-1000000</v>
      </c>
      <c r="I32" s="37">
        <f t="shared" si="4"/>
        <v>2500000</v>
      </c>
      <c r="J32" s="81">
        <v>36427.410000000003</v>
      </c>
      <c r="K32" s="48">
        <v>30246.84</v>
      </c>
      <c r="L32" s="48">
        <v>34229.1</v>
      </c>
      <c r="M32" s="48">
        <v>18281.2</v>
      </c>
      <c r="N32" s="48">
        <v>23770.240000000002</v>
      </c>
      <c r="O32" s="48">
        <v>21527</v>
      </c>
      <c r="P32" s="48">
        <v>24735.26</v>
      </c>
      <c r="Q32" s="48">
        <v>1135535.1299999999</v>
      </c>
      <c r="R32" s="48"/>
      <c r="S32" s="48"/>
      <c r="T32" s="50"/>
      <c r="U32" s="48"/>
      <c r="V32" s="54">
        <f t="shared" si="2"/>
        <v>1324752.18</v>
      </c>
    </row>
    <row r="33" spans="1:23" s="43" customFormat="1" ht="24.75" customHeight="1" x14ac:dyDescent="0.25">
      <c r="A33" s="44">
        <v>2</v>
      </c>
      <c r="B33" s="45">
        <v>2</v>
      </c>
      <c r="C33" s="45">
        <v>1</v>
      </c>
      <c r="D33" s="45">
        <v>5</v>
      </c>
      <c r="E33" s="46" t="s">
        <v>26</v>
      </c>
      <c r="F33" s="58" t="s">
        <v>57</v>
      </c>
      <c r="G33" s="35">
        <f>200000</f>
        <v>200000</v>
      </c>
      <c r="H33" s="36">
        <f>300000+1000000</f>
        <v>1300000</v>
      </c>
      <c r="I33" s="37">
        <f>SUM(G33:H33)</f>
        <v>1500000</v>
      </c>
      <c r="J33" s="81">
        <v>12133.06</v>
      </c>
      <c r="K33" s="48">
        <v>87648.97</v>
      </c>
      <c r="L33" s="48">
        <v>49972.1</v>
      </c>
      <c r="M33" s="48">
        <v>50065.62</v>
      </c>
      <c r="N33" s="48">
        <v>50102.69</v>
      </c>
      <c r="O33" s="48">
        <v>44373.5</v>
      </c>
      <c r="P33" s="48">
        <v>420202.45</v>
      </c>
      <c r="Q33" s="48">
        <v>127302.5</v>
      </c>
      <c r="R33" s="48"/>
      <c r="S33" s="48"/>
      <c r="T33" s="50"/>
      <c r="U33" s="48"/>
      <c r="V33" s="54">
        <f t="shared" si="2"/>
        <v>841800.89</v>
      </c>
    </row>
    <row r="34" spans="1:23" s="43" customFormat="1" ht="24.75" customHeight="1" x14ac:dyDescent="0.25">
      <c r="A34" s="44">
        <v>2</v>
      </c>
      <c r="B34" s="45">
        <v>2</v>
      </c>
      <c r="C34" s="45">
        <v>1</v>
      </c>
      <c r="D34" s="45">
        <v>6</v>
      </c>
      <c r="E34" s="46" t="s">
        <v>26</v>
      </c>
      <c r="F34" s="58" t="s">
        <v>58</v>
      </c>
      <c r="G34" s="35">
        <v>6000000</v>
      </c>
      <c r="H34" s="36">
        <v>0</v>
      </c>
      <c r="I34" s="37">
        <f>SUM(G34:H34)</f>
        <v>6000000</v>
      </c>
      <c r="J34" s="81">
        <v>475172.26</v>
      </c>
      <c r="K34" s="48">
        <v>349277.86</v>
      </c>
      <c r="L34" s="48">
        <v>411401.86</v>
      </c>
      <c r="M34" s="48">
        <v>369317.86</v>
      </c>
      <c r="N34" s="48">
        <v>504709.47</v>
      </c>
      <c r="O34" s="48">
        <v>428017.47</v>
      </c>
      <c r="P34" s="48">
        <v>539837.81999999995</v>
      </c>
      <c r="Q34" s="48">
        <v>577019.06999999995</v>
      </c>
      <c r="R34" s="48"/>
      <c r="S34" s="48"/>
      <c r="T34" s="50"/>
      <c r="U34" s="48"/>
      <c r="V34" s="54">
        <f>SUM(J34:U34)</f>
        <v>3654753.669999999</v>
      </c>
      <c r="W34" s="42"/>
    </row>
    <row r="35" spans="1:23" s="43" customFormat="1" ht="24.75" customHeight="1" x14ac:dyDescent="0.25">
      <c r="A35" s="44">
        <v>2</v>
      </c>
      <c r="B35" s="45">
        <v>2</v>
      </c>
      <c r="C35" s="45">
        <v>1</v>
      </c>
      <c r="D35" s="45">
        <v>7</v>
      </c>
      <c r="E35" s="46" t="s">
        <v>26</v>
      </c>
      <c r="F35" s="58" t="s">
        <v>59</v>
      </c>
      <c r="G35" s="35">
        <f>150000</f>
        <v>150000</v>
      </c>
      <c r="H35" s="36">
        <v>200000</v>
      </c>
      <c r="I35" s="37">
        <f>SUM(G35:H35)</f>
        <v>350000</v>
      </c>
      <c r="J35" s="81">
        <v>16000</v>
      </c>
      <c r="K35" s="48">
        <v>77292</v>
      </c>
      <c r="L35" s="48">
        <v>1950</v>
      </c>
      <c r="M35" s="48">
        <v>51000</v>
      </c>
      <c r="N35" s="48">
        <v>38000</v>
      </c>
      <c r="O35" s="48">
        <v>8000</v>
      </c>
      <c r="P35" s="48">
        <v>15000</v>
      </c>
      <c r="Q35" s="48">
        <v>38000</v>
      </c>
      <c r="R35" s="48"/>
      <c r="S35" s="48"/>
      <c r="T35" s="50"/>
      <c r="U35" s="48"/>
      <c r="V35" s="54">
        <f t="shared" si="2"/>
        <v>245242</v>
      </c>
    </row>
    <row r="36" spans="1:23" s="43" customFormat="1" ht="24.75" customHeight="1" x14ac:dyDescent="0.25">
      <c r="A36" s="44">
        <v>2</v>
      </c>
      <c r="B36" s="45">
        <v>2</v>
      </c>
      <c r="C36" s="45">
        <v>1</v>
      </c>
      <c r="D36" s="45">
        <v>8</v>
      </c>
      <c r="E36" s="46" t="s">
        <v>26</v>
      </c>
      <c r="F36" s="58" t="s">
        <v>60</v>
      </c>
      <c r="G36" s="35">
        <f>80000</f>
        <v>80000</v>
      </c>
      <c r="H36" s="36">
        <v>0</v>
      </c>
      <c r="I36" s="37">
        <f>SUM(G36:H36)</f>
        <v>80000</v>
      </c>
      <c r="J36" s="81">
        <v>16039</v>
      </c>
      <c r="K36" s="48">
        <v>7375</v>
      </c>
      <c r="L36" s="48">
        <v>0</v>
      </c>
      <c r="M36" s="48">
        <v>15616</v>
      </c>
      <c r="N36" s="48">
        <v>7375</v>
      </c>
      <c r="O36" s="48">
        <v>7375</v>
      </c>
      <c r="P36" s="48">
        <v>7375</v>
      </c>
      <c r="Q36" s="48">
        <v>7375</v>
      </c>
      <c r="R36" s="48"/>
      <c r="S36" s="48"/>
      <c r="T36" s="50"/>
      <c r="U36" s="48"/>
      <c r="V36" s="54">
        <f t="shared" si="2"/>
        <v>68530</v>
      </c>
    </row>
    <row r="37" spans="1:23" s="43" customFormat="1" ht="24.75" customHeight="1" x14ac:dyDescent="0.25">
      <c r="A37" s="44">
        <v>2</v>
      </c>
      <c r="B37" s="45">
        <v>2</v>
      </c>
      <c r="C37" s="45">
        <v>2</v>
      </c>
      <c r="D37" s="45">
        <v>1</v>
      </c>
      <c r="E37" s="46" t="s">
        <v>26</v>
      </c>
      <c r="F37" s="58" t="s">
        <v>61</v>
      </c>
      <c r="G37" s="35">
        <v>12000000</v>
      </c>
      <c r="H37" s="36">
        <f>30000000-500000</f>
        <v>29500000</v>
      </c>
      <c r="I37" s="37">
        <f t="shared" si="4"/>
        <v>41500000</v>
      </c>
      <c r="J37" s="81">
        <v>1138700</v>
      </c>
      <c r="K37" s="48">
        <v>987593.1</v>
      </c>
      <c r="L37" s="48">
        <v>1628200</v>
      </c>
      <c r="M37" s="48">
        <v>3149400</v>
      </c>
      <c r="N37" s="48">
        <v>1995100</v>
      </c>
      <c r="O37" s="48">
        <f>699504-118000</f>
        <v>581504</v>
      </c>
      <c r="P37" s="48">
        <v>1358806</v>
      </c>
      <c r="Q37" s="48">
        <v>945002</v>
      </c>
      <c r="R37" s="48"/>
      <c r="S37" s="48"/>
      <c r="T37" s="50"/>
      <c r="U37" s="48"/>
      <c r="V37" s="54">
        <f t="shared" si="2"/>
        <v>11784305.1</v>
      </c>
    </row>
    <row r="38" spans="1:23" s="43" customFormat="1" ht="24.75" customHeight="1" x14ac:dyDescent="0.25">
      <c r="A38" s="44">
        <v>2</v>
      </c>
      <c r="B38" s="45">
        <v>2</v>
      </c>
      <c r="C38" s="45">
        <v>2</v>
      </c>
      <c r="D38" s="45">
        <v>2</v>
      </c>
      <c r="E38" s="46" t="s">
        <v>26</v>
      </c>
      <c r="F38" s="58" t="s">
        <v>62</v>
      </c>
      <c r="G38" s="35">
        <v>5003000</v>
      </c>
      <c r="H38" s="36">
        <v>2000000</v>
      </c>
      <c r="I38" s="37">
        <f t="shared" si="4"/>
        <v>7003000</v>
      </c>
      <c r="J38" s="81">
        <v>218300</v>
      </c>
      <c r="K38" s="48">
        <v>27360.7</v>
      </c>
      <c r="L38" s="48">
        <v>54600.9</v>
      </c>
      <c r="M38" s="48">
        <v>98397.67</v>
      </c>
      <c r="N38" s="48">
        <v>532921.29</v>
      </c>
      <c r="O38" s="48">
        <v>581337.77</v>
      </c>
      <c r="P38" s="48">
        <v>6979.5</v>
      </c>
      <c r="Q38" s="48">
        <v>487146.31</v>
      </c>
      <c r="R38" s="48"/>
      <c r="S38" s="48"/>
      <c r="T38" s="50"/>
      <c r="U38" s="48"/>
      <c r="V38" s="54">
        <f t="shared" si="2"/>
        <v>2007044.1400000001</v>
      </c>
    </row>
    <row r="39" spans="1:23" s="43" customFormat="1" ht="24.75" customHeight="1" x14ac:dyDescent="0.25">
      <c r="A39" s="44">
        <v>2</v>
      </c>
      <c r="B39" s="45">
        <v>2</v>
      </c>
      <c r="C39" s="45">
        <v>3</v>
      </c>
      <c r="D39" s="45">
        <v>1</v>
      </c>
      <c r="E39" s="46" t="s">
        <v>26</v>
      </c>
      <c r="F39" s="58" t="s">
        <v>63</v>
      </c>
      <c r="G39" s="35">
        <f>6100000</f>
        <v>6100000</v>
      </c>
      <c r="H39" s="36">
        <v>0</v>
      </c>
      <c r="I39" s="37">
        <f t="shared" si="4"/>
        <v>6100000</v>
      </c>
      <c r="J39" s="81">
        <v>0</v>
      </c>
      <c r="K39" s="48">
        <v>259948.12</v>
      </c>
      <c r="L39" s="48">
        <v>255520</v>
      </c>
      <c r="M39" s="48">
        <v>44950</v>
      </c>
      <c r="N39" s="48">
        <v>289560</v>
      </c>
      <c r="O39" s="48">
        <v>138360</v>
      </c>
      <c r="P39" s="48">
        <v>353040</v>
      </c>
      <c r="Q39" s="48">
        <v>238480</v>
      </c>
      <c r="R39" s="48"/>
      <c r="S39" s="48"/>
      <c r="T39" s="50"/>
      <c r="U39" s="48"/>
      <c r="V39" s="54">
        <f t="shared" si="2"/>
        <v>1579858.12</v>
      </c>
    </row>
    <row r="40" spans="1:23" s="43" customFormat="1" ht="24.75" customHeight="1" x14ac:dyDescent="0.25">
      <c r="A40" s="44">
        <v>2</v>
      </c>
      <c r="B40" s="45">
        <v>2</v>
      </c>
      <c r="C40" s="45">
        <v>3</v>
      </c>
      <c r="D40" s="45">
        <v>1</v>
      </c>
      <c r="E40" s="46" t="s">
        <v>47</v>
      </c>
      <c r="F40" s="58" t="s">
        <v>64</v>
      </c>
      <c r="G40" s="35">
        <v>1800000</v>
      </c>
      <c r="H40" s="36">
        <v>0</v>
      </c>
      <c r="I40" s="37">
        <f t="shared" si="4"/>
        <v>1800000</v>
      </c>
      <c r="J40" s="81">
        <v>0</v>
      </c>
      <c r="K40" s="48">
        <v>271670.58</v>
      </c>
      <c r="L40" s="48">
        <v>0</v>
      </c>
      <c r="M40" s="48">
        <v>28927.42</v>
      </c>
      <c r="N40" s="48">
        <v>70792.19</v>
      </c>
      <c r="O40" s="48">
        <v>0</v>
      </c>
      <c r="P40" s="48">
        <v>72122.02</v>
      </c>
      <c r="Q40" s="48">
        <v>0</v>
      </c>
      <c r="R40" s="48"/>
      <c r="S40" s="48"/>
      <c r="T40" s="50"/>
      <c r="U40" s="48"/>
      <c r="V40" s="54">
        <f>SUM(J40:U40)</f>
        <v>443512.21</v>
      </c>
    </row>
    <row r="41" spans="1:23" s="43" customFormat="1" ht="24.75" customHeight="1" x14ac:dyDescent="0.25">
      <c r="A41" s="44">
        <v>2</v>
      </c>
      <c r="B41" s="82">
        <v>2</v>
      </c>
      <c r="C41" s="82">
        <v>4</v>
      </c>
      <c r="D41" s="82">
        <v>1</v>
      </c>
      <c r="E41" s="83" t="s">
        <v>26</v>
      </c>
      <c r="F41" s="84" t="s">
        <v>65</v>
      </c>
      <c r="G41" s="35">
        <v>700000</v>
      </c>
      <c r="H41" s="35">
        <v>-200000</v>
      </c>
      <c r="I41" s="37">
        <f t="shared" si="4"/>
        <v>500000</v>
      </c>
      <c r="J41" s="81">
        <v>0</v>
      </c>
      <c r="K41" s="48">
        <v>3180</v>
      </c>
      <c r="L41" s="48">
        <v>1736.79</v>
      </c>
      <c r="M41" s="48">
        <v>0</v>
      </c>
      <c r="N41" s="48">
        <v>212116</v>
      </c>
      <c r="O41" s="48">
        <v>601.91999999999996</v>
      </c>
      <c r="P41" s="48">
        <v>1476.69</v>
      </c>
      <c r="Q41" s="48">
        <v>1621.91</v>
      </c>
      <c r="R41" s="48"/>
      <c r="S41" s="48"/>
      <c r="T41" s="50"/>
      <c r="U41" s="48"/>
      <c r="V41" s="54">
        <f t="shared" si="2"/>
        <v>220733.31000000003</v>
      </c>
      <c r="W41" s="42"/>
    </row>
    <row r="42" spans="1:23" s="43" customFormat="1" ht="22.5" customHeight="1" x14ac:dyDescent="0.25">
      <c r="A42" s="44">
        <v>2</v>
      </c>
      <c r="B42" s="82">
        <v>2</v>
      </c>
      <c r="C42" s="82">
        <v>4</v>
      </c>
      <c r="D42" s="82">
        <v>2</v>
      </c>
      <c r="E42" s="83" t="s">
        <v>26</v>
      </c>
      <c r="F42" s="84" t="s">
        <v>66</v>
      </c>
      <c r="G42" s="35">
        <v>0</v>
      </c>
      <c r="H42" s="35">
        <v>200000</v>
      </c>
      <c r="I42" s="37">
        <f t="shared" si="4"/>
        <v>200000</v>
      </c>
      <c r="J42" s="81">
        <v>0</v>
      </c>
      <c r="K42" s="48">
        <v>0</v>
      </c>
      <c r="L42" s="48">
        <v>19500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/>
      <c r="S42" s="48"/>
      <c r="T42" s="50"/>
      <c r="U42" s="48"/>
      <c r="V42" s="54">
        <f t="shared" si="2"/>
        <v>19500</v>
      </c>
    </row>
    <row r="43" spans="1:23" s="43" customFormat="1" ht="24.75" hidden="1" customHeight="1" x14ac:dyDescent="0.25">
      <c r="A43" s="44">
        <v>2</v>
      </c>
      <c r="B43" s="82">
        <v>2</v>
      </c>
      <c r="C43" s="82">
        <v>4</v>
      </c>
      <c r="D43" s="82">
        <v>3</v>
      </c>
      <c r="E43" s="83" t="s">
        <v>26</v>
      </c>
      <c r="F43" s="84" t="s">
        <v>67</v>
      </c>
      <c r="G43" s="35">
        <v>0</v>
      </c>
      <c r="H43" s="36">
        <v>0</v>
      </c>
      <c r="I43" s="37">
        <f t="shared" si="4"/>
        <v>0</v>
      </c>
      <c r="J43" s="81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/>
      <c r="Q43" s="48"/>
      <c r="R43" s="48"/>
      <c r="S43" s="48"/>
      <c r="T43" s="50"/>
      <c r="U43" s="48"/>
      <c r="V43" s="54">
        <f t="shared" si="2"/>
        <v>0</v>
      </c>
    </row>
    <row r="44" spans="1:23" s="43" customFormat="1" ht="24.75" customHeight="1" x14ac:dyDescent="0.25">
      <c r="A44" s="44">
        <v>2</v>
      </c>
      <c r="B44" s="82">
        <v>2</v>
      </c>
      <c r="C44" s="82">
        <v>4</v>
      </c>
      <c r="D44" s="82">
        <v>4</v>
      </c>
      <c r="E44" s="83" t="s">
        <v>26</v>
      </c>
      <c r="F44" s="84" t="s">
        <v>68</v>
      </c>
      <c r="G44" s="35">
        <v>500000</v>
      </c>
      <c r="H44" s="36">
        <v>0</v>
      </c>
      <c r="I44" s="37">
        <f t="shared" si="4"/>
        <v>500000</v>
      </c>
      <c r="J44" s="81">
        <v>10654.72</v>
      </c>
      <c r="K44" s="48">
        <v>1300</v>
      </c>
      <c r="L44" s="48">
        <v>5766</v>
      </c>
      <c r="M44" s="48">
        <v>0</v>
      </c>
      <c r="N44" s="48">
        <v>7670</v>
      </c>
      <c r="O44" s="48">
        <v>15850</v>
      </c>
      <c r="P44" s="48">
        <v>406080</v>
      </c>
      <c r="Q44" s="48">
        <v>3200</v>
      </c>
      <c r="R44" s="48"/>
      <c r="S44" s="48"/>
      <c r="T44" s="50"/>
      <c r="U44" s="48"/>
      <c r="V44" s="54">
        <f t="shared" si="2"/>
        <v>450520.72</v>
      </c>
      <c r="W44" s="42"/>
    </row>
    <row r="45" spans="1:23" s="43" customFormat="1" ht="24.75" customHeight="1" x14ac:dyDescent="0.25">
      <c r="A45" s="44">
        <v>2</v>
      </c>
      <c r="B45" s="82">
        <v>2</v>
      </c>
      <c r="C45" s="82">
        <v>5</v>
      </c>
      <c r="D45" s="82">
        <v>1</v>
      </c>
      <c r="E45" s="83" t="s">
        <v>26</v>
      </c>
      <c r="F45" s="84" t="s">
        <v>69</v>
      </c>
      <c r="G45" s="35">
        <v>500000</v>
      </c>
      <c r="H45" s="36">
        <v>0</v>
      </c>
      <c r="I45" s="37">
        <f t="shared" si="4"/>
        <v>500000</v>
      </c>
      <c r="J45" s="81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/>
      <c r="S45" s="48"/>
      <c r="T45" s="50"/>
      <c r="U45" s="48"/>
      <c r="V45" s="54">
        <f t="shared" si="2"/>
        <v>0</v>
      </c>
    </row>
    <row r="46" spans="1:23" s="43" customFormat="1" ht="24.75" customHeight="1" x14ac:dyDescent="0.25">
      <c r="A46" s="44">
        <v>2</v>
      </c>
      <c r="B46" s="82">
        <v>2</v>
      </c>
      <c r="C46" s="82">
        <v>5</v>
      </c>
      <c r="D46" s="82">
        <v>3</v>
      </c>
      <c r="E46" s="83" t="s">
        <v>49</v>
      </c>
      <c r="F46" s="84" t="s">
        <v>70</v>
      </c>
      <c r="G46" s="35">
        <v>100000</v>
      </c>
      <c r="H46" s="36">
        <v>4000000</v>
      </c>
      <c r="I46" s="37">
        <f>SUM(G46:H46)</f>
        <v>4100000</v>
      </c>
      <c r="J46" s="81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726408</v>
      </c>
      <c r="R46" s="48"/>
      <c r="S46" s="48"/>
      <c r="T46" s="50"/>
      <c r="U46" s="48"/>
      <c r="V46" s="54">
        <f t="shared" si="2"/>
        <v>726408</v>
      </c>
    </row>
    <row r="47" spans="1:23" s="43" customFormat="1" ht="24.75" customHeight="1" x14ac:dyDescent="0.25">
      <c r="A47" s="44">
        <v>2</v>
      </c>
      <c r="B47" s="82">
        <v>2</v>
      </c>
      <c r="C47" s="82">
        <v>5</v>
      </c>
      <c r="D47" s="45">
        <v>4</v>
      </c>
      <c r="E47" s="46" t="s">
        <v>26</v>
      </c>
      <c r="F47" s="58" t="s">
        <v>71</v>
      </c>
      <c r="G47" s="35">
        <v>3500000</v>
      </c>
      <c r="H47" s="36">
        <v>0</v>
      </c>
      <c r="I47" s="37">
        <f>SUM(G47:H47)</f>
        <v>3500000</v>
      </c>
      <c r="J47" s="48">
        <v>0</v>
      </c>
      <c r="K47" s="48">
        <v>0</v>
      </c>
      <c r="L47" s="48">
        <v>0</v>
      </c>
      <c r="M47" s="48">
        <v>1200591</v>
      </c>
      <c r="N47" s="48">
        <v>0</v>
      </c>
      <c r="O47" s="48">
        <v>1383104</v>
      </c>
      <c r="P47" s="48">
        <v>0</v>
      </c>
      <c r="Q47" s="48">
        <v>257269.5</v>
      </c>
      <c r="R47" s="48"/>
      <c r="S47" s="48"/>
      <c r="T47" s="50"/>
      <c r="U47" s="48"/>
      <c r="V47" s="54">
        <f t="shared" si="2"/>
        <v>2840964.5</v>
      </c>
      <c r="W47" s="42"/>
    </row>
    <row r="48" spans="1:23" s="43" customFormat="1" ht="21.75" customHeight="1" x14ac:dyDescent="0.25">
      <c r="A48" s="44">
        <v>2</v>
      </c>
      <c r="B48" s="82">
        <v>2</v>
      </c>
      <c r="C48" s="82">
        <v>5</v>
      </c>
      <c r="D48" s="45">
        <v>8</v>
      </c>
      <c r="E48" s="46" t="s">
        <v>26</v>
      </c>
      <c r="F48" s="58" t="s">
        <v>72</v>
      </c>
      <c r="G48" s="35">
        <f>2000000</f>
        <v>2000000</v>
      </c>
      <c r="H48" s="36">
        <v>9980000</v>
      </c>
      <c r="I48" s="37">
        <f>SUM(G48:H48)</f>
        <v>11980000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241286.39999999999</v>
      </c>
      <c r="P48" s="48">
        <v>0</v>
      </c>
      <c r="Q48" s="48">
        <v>0</v>
      </c>
      <c r="R48" s="48"/>
      <c r="S48" s="48"/>
      <c r="T48" s="50"/>
      <c r="U48" s="48"/>
      <c r="V48" s="54">
        <f t="shared" si="2"/>
        <v>241286.39999999999</v>
      </c>
    </row>
    <row r="49" spans="1:23" s="43" customFormat="1" ht="24.75" hidden="1" customHeight="1" x14ac:dyDescent="0.25">
      <c r="A49" s="44">
        <v>2</v>
      </c>
      <c r="B49" s="45">
        <v>2</v>
      </c>
      <c r="C49" s="45">
        <v>6</v>
      </c>
      <c r="D49" s="45">
        <v>1</v>
      </c>
      <c r="E49" s="46" t="s">
        <v>26</v>
      </c>
      <c r="F49" s="58" t="s">
        <v>73</v>
      </c>
      <c r="G49" s="85">
        <v>0</v>
      </c>
      <c r="H49" s="85">
        <v>0</v>
      </c>
      <c r="I49" s="37">
        <f t="shared" si="4"/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/>
      <c r="S49" s="48"/>
      <c r="T49" s="50"/>
      <c r="U49" s="48"/>
      <c r="V49" s="54">
        <f t="shared" si="2"/>
        <v>0</v>
      </c>
    </row>
    <row r="50" spans="1:23" s="90" customFormat="1" ht="24.75" customHeight="1" x14ac:dyDescent="0.25">
      <c r="A50" s="86">
        <v>2</v>
      </c>
      <c r="B50" s="82">
        <v>2</v>
      </c>
      <c r="C50" s="82">
        <v>6</v>
      </c>
      <c r="D50" s="82">
        <v>2</v>
      </c>
      <c r="E50" s="83" t="s">
        <v>26</v>
      </c>
      <c r="F50" s="84" t="s">
        <v>74</v>
      </c>
      <c r="G50" s="35">
        <v>6500000</v>
      </c>
      <c r="H50" s="36">
        <v>0</v>
      </c>
      <c r="I50" s="37">
        <f t="shared" si="4"/>
        <v>6500000</v>
      </c>
      <c r="J50" s="87">
        <v>55935.87</v>
      </c>
      <c r="K50" s="87">
        <v>35716.43</v>
      </c>
      <c r="L50" s="87">
        <v>0</v>
      </c>
      <c r="M50" s="48">
        <v>0</v>
      </c>
      <c r="N50" s="87">
        <v>26836.68</v>
      </c>
      <c r="O50" s="87">
        <v>0</v>
      </c>
      <c r="P50" s="48">
        <f>1448151.02-39610.77</f>
        <v>1408540.25</v>
      </c>
      <c r="Q50" s="48">
        <v>2228718.9900000002</v>
      </c>
      <c r="R50" s="87"/>
      <c r="S50" s="87"/>
      <c r="T50" s="88"/>
      <c r="U50" s="87"/>
      <c r="V50" s="51">
        <f t="shared" si="2"/>
        <v>3755748.22</v>
      </c>
      <c r="W50" s="89"/>
    </row>
    <row r="51" spans="1:23" s="43" customFormat="1" ht="24.75" customHeight="1" x14ac:dyDescent="0.25">
      <c r="A51" s="44">
        <v>2</v>
      </c>
      <c r="B51" s="45">
        <v>2</v>
      </c>
      <c r="C51" s="45">
        <v>6</v>
      </c>
      <c r="D51" s="45">
        <v>3</v>
      </c>
      <c r="E51" s="46" t="s">
        <v>26</v>
      </c>
      <c r="F51" s="58" t="s">
        <v>75</v>
      </c>
      <c r="G51" s="35">
        <f>1000000</f>
        <v>1000000</v>
      </c>
      <c r="H51" s="36">
        <v>0</v>
      </c>
      <c r="I51" s="37">
        <f t="shared" si="4"/>
        <v>1000000</v>
      </c>
      <c r="J51" s="48">
        <v>0</v>
      </c>
      <c r="K51" s="48">
        <v>70269</v>
      </c>
      <c r="L51" s="48">
        <v>140538</v>
      </c>
      <c r="M51" s="48">
        <v>0</v>
      </c>
      <c r="N51" s="48">
        <v>70269</v>
      </c>
      <c r="O51" s="48">
        <v>73523</v>
      </c>
      <c r="P51" s="48">
        <v>73523</v>
      </c>
      <c r="Q51" s="48">
        <v>76777</v>
      </c>
      <c r="R51" s="48"/>
      <c r="S51" s="48"/>
      <c r="T51" s="50"/>
      <c r="U51" s="48"/>
      <c r="V51" s="54">
        <f t="shared" si="2"/>
        <v>504899</v>
      </c>
    </row>
    <row r="52" spans="1:23" s="43" customFormat="1" ht="24.75" customHeight="1" x14ac:dyDescent="0.25">
      <c r="A52" s="44">
        <v>2</v>
      </c>
      <c r="B52" s="45">
        <v>2</v>
      </c>
      <c r="C52" s="45">
        <v>7</v>
      </c>
      <c r="D52" s="45">
        <v>1</v>
      </c>
      <c r="E52" s="46" t="s">
        <v>26</v>
      </c>
      <c r="F52" s="58" t="s">
        <v>76</v>
      </c>
      <c r="G52" s="35">
        <v>4000000</v>
      </c>
      <c r="H52" s="36">
        <v>0</v>
      </c>
      <c r="I52" s="37">
        <f t="shared" si="4"/>
        <v>4000000</v>
      </c>
      <c r="J52" s="48">
        <v>0</v>
      </c>
      <c r="K52" s="48">
        <v>0</v>
      </c>
      <c r="L52" s="48">
        <v>0</v>
      </c>
      <c r="M52" s="48"/>
      <c r="N52" s="48"/>
      <c r="O52" s="48"/>
      <c r="P52" s="48">
        <v>0</v>
      </c>
      <c r="Q52" s="48"/>
      <c r="R52" s="48"/>
      <c r="S52" s="48"/>
      <c r="T52" s="50"/>
      <c r="U52" s="48"/>
      <c r="V52" s="54">
        <f t="shared" si="2"/>
        <v>0</v>
      </c>
    </row>
    <row r="53" spans="1:23" s="43" customFormat="1" ht="24.75" customHeight="1" x14ac:dyDescent="0.25">
      <c r="A53" s="44">
        <v>2</v>
      </c>
      <c r="B53" s="45">
        <v>2</v>
      </c>
      <c r="C53" s="45">
        <v>7</v>
      </c>
      <c r="D53" s="45">
        <v>2</v>
      </c>
      <c r="E53" s="46" t="s">
        <v>26</v>
      </c>
      <c r="F53" s="58" t="s">
        <v>77</v>
      </c>
      <c r="G53" s="35">
        <v>500000</v>
      </c>
      <c r="H53" s="36">
        <v>0</v>
      </c>
      <c r="I53" s="37">
        <f t="shared" si="4"/>
        <v>500000</v>
      </c>
      <c r="J53" s="87">
        <v>13570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47046.6</v>
      </c>
      <c r="R53" s="48"/>
      <c r="S53" s="48"/>
      <c r="T53" s="50"/>
      <c r="U53" s="48"/>
      <c r="V53" s="54">
        <f t="shared" si="2"/>
        <v>60616.6</v>
      </c>
      <c r="W53" s="42"/>
    </row>
    <row r="54" spans="1:23" s="43" customFormat="1" ht="24.75" customHeight="1" x14ac:dyDescent="0.25">
      <c r="A54" s="44">
        <v>2</v>
      </c>
      <c r="B54" s="45">
        <v>2</v>
      </c>
      <c r="C54" s="45">
        <v>7</v>
      </c>
      <c r="D54" s="45">
        <v>2</v>
      </c>
      <c r="E54" s="46" t="s">
        <v>47</v>
      </c>
      <c r="F54" s="58" t="s">
        <v>78</v>
      </c>
      <c r="G54" s="35">
        <v>4500000</v>
      </c>
      <c r="H54" s="35">
        <f>-2500000-100000</f>
        <v>-2600000</v>
      </c>
      <c r="I54" s="37">
        <f t="shared" si="4"/>
        <v>1900000</v>
      </c>
      <c r="J54" s="48"/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/>
      <c r="S54" s="48"/>
      <c r="T54" s="50"/>
      <c r="U54" s="48"/>
      <c r="V54" s="54">
        <f t="shared" si="2"/>
        <v>0</v>
      </c>
    </row>
    <row r="55" spans="1:23" s="43" customFormat="1" ht="24.75" customHeight="1" x14ac:dyDescent="0.25">
      <c r="A55" s="44">
        <v>2</v>
      </c>
      <c r="B55" s="45">
        <v>2</v>
      </c>
      <c r="C55" s="45">
        <v>7</v>
      </c>
      <c r="D55" s="45">
        <v>2</v>
      </c>
      <c r="E55" s="46" t="s">
        <v>49</v>
      </c>
      <c r="F55" s="58" t="s">
        <v>79</v>
      </c>
      <c r="G55" s="85">
        <v>0</v>
      </c>
      <c r="H55" s="91">
        <v>100000</v>
      </c>
      <c r="I55" s="37">
        <f t="shared" si="4"/>
        <v>100000</v>
      </c>
      <c r="J55" s="48">
        <v>0</v>
      </c>
      <c r="K55" s="48">
        <v>0</v>
      </c>
      <c r="L55" s="48">
        <v>17558</v>
      </c>
      <c r="M55" s="48">
        <v>0</v>
      </c>
      <c r="N55" s="48">
        <v>10917.69</v>
      </c>
      <c r="O55" s="48">
        <v>0</v>
      </c>
      <c r="P55" s="48">
        <v>0</v>
      </c>
      <c r="Q55" s="48">
        <v>0</v>
      </c>
      <c r="R55" s="48"/>
      <c r="S55" s="48"/>
      <c r="T55" s="50"/>
      <c r="U55" s="48"/>
      <c r="V55" s="54">
        <f t="shared" si="2"/>
        <v>28475.690000000002</v>
      </c>
    </row>
    <row r="56" spans="1:23" s="43" customFormat="1" ht="0.75" hidden="1" customHeight="1" x14ac:dyDescent="0.25">
      <c r="A56" s="44">
        <v>2</v>
      </c>
      <c r="B56" s="45">
        <v>2</v>
      </c>
      <c r="C56" s="45">
        <v>7</v>
      </c>
      <c r="D56" s="45">
        <v>2</v>
      </c>
      <c r="E56" s="46" t="s">
        <v>38</v>
      </c>
      <c r="F56" s="58" t="s">
        <v>80</v>
      </c>
      <c r="G56" s="85">
        <v>0</v>
      </c>
      <c r="H56" s="85">
        <v>0</v>
      </c>
      <c r="I56" s="37">
        <f t="shared" si="4"/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/>
      <c r="S56" s="48"/>
      <c r="T56" s="50"/>
      <c r="U56" s="48"/>
      <c r="V56" s="54">
        <f t="shared" si="2"/>
        <v>0</v>
      </c>
    </row>
    <row r="57" spans="1:23" s="43" customFormat="1" ht="24.75" customHeight="1" x14ac:dyDescent="0.25">
      <c r="A57" s="44">
        <v>2</v>
      </c>
      <c r="B57" s="45">
        <v>2</v>
      </c>
      <c r="C57" s="45">
        <v>7</v>
      </c>
      <c r="D57" s="45">
        <v>2</v>
      </c>
      <c r="E57" s="46" t="s">
        <v>29</v>
      </c>
      <c r="F57" s="58" t="s">
        <v>81</v>
      </c>
      <c r="G57" s="35">
        <v>2500000</v>
      </c>
      <c r="H57" s="36">
        <v>2500000</v>
      </c>
      <c r="I57" s="37">
        <f t="shared" si="4"/>
        <v>5000000</v>
      </c>
      <c r="J57" s="48">
        <v>169861.9</v>
      </c>
      <c r="K57" s="48">
        <v>68065.039999999994</v>
      </c>
      <c r="L57" s="48">
        <v>732379.53</v>
      </c>
      <c r="M57" s="48">
        <v>99900.23</v>
      </c>
      <c r="N57" s="48">
        <v>102341.48</v>
      </c>
      <c r="O57" s="48">
        <v>1229427.17</v>
      </c>
      <c r="P57" s="48">
        <v>278010.43</v>
      </c>
      <c r="Q57" s="48">
        <v>186902.3</v>
      </c>
      <c r="R57" s="48"/>
      <c r="S57" s="48"/>
      <c r="T57" s="50"/>
      <c r="U57" s="48"/>
      <c r="V57" s="54">
        <f t="shared" si="2"/>
        <v>2866888.0799999996</v>
      </c>
      <c r="W57" s="42"/>
    </row>
    <row r="58" spans="1:23" s="43" customFormat="1" ht="0.75" hidden="1" customHeight="1" x14ac:dyDescent="0.25">
      <c r="A58" s="44">
        <v>2</v>
      </c>
      <c r="B58" s="45">
        <v>2</v>
      </c>
      <c r="C58" s="45">
        <v>8</v>
      </c>
      <c r="D58" s="45">
        <v>1</v>
      </c>
      <c r="E58" s="46" t="s">
        <v>26</v>
      </c>
      <c r="F58" s="58" t="s">
        <v>82</v>
      </c>
      <c r="G58" s="92"/>
      <c r="H58" s="85">
        <v>0</v>
      </c>
      <c r="I58" s="37">
        <f t="shared" si="4"/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/>
      <c r="S58" s="48"/>
      <c r="T58" s="50"/>
      <c r="U58" s="48"/>
      <c r="V58" s="54">
        <f t="shared" si="2"/>
        <v>0</v>
      </c>
    </row>
    <row r="59" spans="1:23" s="90" customFormat="1" ht="24.75" customHeight="1" x14ac:dyDescent="0.25">
      <c r="A59" s="86">
        <v>2</v>
      </c>
      <c r="B59" s="82">
        <v>2</v>
      </c>
      <c r="C59" s="82">
        <v>8</v>
      </c>
      <c r="D59" s="82">
        <v>2</v>
      </c>
      <c r="E59" s="83" t="s">
        <v>26</v>
      </c>
      <c r="F59" s="84" t="s">
        <v>83</v>
      </c>
      <c r="G59" s="35">
        <v>4000000</v>
      </c>
      <c r="H59" s="36">
        <v>10000000</v>
      </c>
      <c r="I59" s="37">
        <f t="shared" si="4"/>
        <v>14000000</v>
      </c>
      <c r="J59" s="87">
        <v>206725.15</v>
      </c>
      <c r="K59" s="87">
        <v>1431501.39</v>
      </c>
      <c r="L59" s="87">
        <v>911076.96</v>
      </c>
      <c r="M59" s="87">
        <v>286540.21999999997</v>
      </c>
      <c r="N59" s="87">
        <v>177207.43</v>
      </c>
      <c r="O59" s="87">
        <v>258007.77</v>
      </c>
      <c r="P59" s="87">
        <v>563819.26</v>
      </c>
      <c r="Q59" s="87">
        <v>418684.74</v>
      </c>
      <c r="R59" s="87"/>
      <c r="S59" s="87"/>
      <c r="T59" s="88"/>
      <c r="U59" s="87"/>
      <c r="V59" s="51">
        <f t="shared" si="2"/>
        <v>4253562.92</v>
      </c>
      <c r="W59" s="89"/>
    </row>
    <row r="60" spans="1:23" s="90" customFormat="1" ht="24.75" customHeight="1" x14ac:dyDescent="0.25">
      <c r="A60" s="86">
        <v>2</v>
      </c>
      <c r="B60" s="82">
        <v>2</v>
      </c>
      <c r="C60" s="82">
        <v>8</v>
      </c>
      <c r="D60" s="82">
        <v>4</v>
      </c>
      <c r="E60" s="83" t="s">
        <v>26</v>
      </c>
      <c r="F60" s="93" t="s">
        <v>84</v>
      </c>
      <c r="G60" s="35">
        <v>300000</v>
      </c>
      <c r="H60" s="36">
        <v>0</v>
      </c>
      <c r="I60" s="37">
        <f t="shared" si="4"/>
        <v>300000</v>
      </c>
      <c r="J60" s="87">
        <v>0</v>
      </c>
      <c r="K60" s="48">
        <v>0</v>
      </c>
      <c r="L60" s="87">
        <v>0</v>
      </c>
      <c r="M60" s="48">
        <v>0</v>
      </c>
      <c r="N60" s="48">
        <v>0</v>
      </c>
      <c r="O60" s="48">
        <v>0</v>
      </c>
      <c r="P60" s="87">
        <v>0</v>
      </c>
      <c r="Q60" s="87">
        <v>0</v>
      </c>
      <c r="R60" s="87"/>
      <c r="S60" s="87"/>
      <c r="T60" s="88"/>
      <c r="U60" s="87"/>
      <c r="V60" s="51">
        <f t="shared" si="2"/>
        <v>0</v>
      </c>
      <c r="W60" s="89"/>
    </row>
    <row r="61" spans="1:23" s="90" customFormat="1" ht="21.75" customHeight="1" x14ac:dyDescent="0.25">
      <c r="A61" s="86"/>
      <c r="B61" s="45">
        <v>2</v>
      </c>
      <c r="C61" s="45">
        <v>8</v>
      </c>
      <c r="D61" s="45">
        <v>5</v>
      </c>
      <c r="E61" s="46" t="s">
        <v>26</v>
      </c>
      <c r="F61" s="93" t="s">
        <v>85</v>
      </c>
      <c r="G61" s="35">
        <v>300000</v>
      </c>
      <c r="H61" s="36">
        <v>0</v>
      </c>
      <c r="I61" s="37">
        <f t="shared" si="4"/>
        <v>300000</v>
      </c>
      <c r="J61" s="87">
        <v>0</v>
      </c>
      <c r="K61" s="48">
        <v>0</v>
      </c>
      <c r="L61" s="87">
        <v>0</v>
      </c>
      <c r="M61" s="48">
        <v>41300</v>
      </c>
      <c r="N61" s="48">
        <v>41300</v>
      </c>
      <c r="O61" s="48">
        <v>41300</v>
      </c>
      <c r="P61" s="87">
        <v>0</v>
      </c>
      <c r="Q61" s="87">
        <v>0</v>
      </c>
      <c r="R61" s="87"/>
      <c r="S61" s="87"/>
      <c r="T61" s="88"/>
      <c r="U61" s="87"/>
      <c r="V61" s="51">
        <f t="shared" si="2"/>
        <v>123900</v>
      </c>
      <c r="W61" s="89"/>
    </row>
    <row r="62" spans="1:23" s="43" customFormat="1" ht="24.75" hidden="1" customHeight="1" x14ac:dyDescent="0.25">
      <c r="A62" s="44">
        <v>2</v>
      </c>
      <c r="B62" s="45">
        <v>2</v>
      </c>
      <c r="C62" s="45">
        <v>8</v>
      </c>
      <c r="D62" s="45">
        <v>5</v>
      </c>
      <c r="E62" s="46" t="s">
        <v>47</v>
      </c>
      <c r="F62" s="58" t="s">
        <v>86</v>
      </c>
      <c r="G62" s="85">
        <v>0</v>
      </c>
      <c r="H62" s="85">
        <v>0</v>
      </c>
      <c r="I62" s="37">
        <f t="shared" si="4"/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/>
      <c r="S62" s="48"/>
      <c r="T62" s="50"/>
      <c r="U62" s="48"/>
      <c r="V62" s="54">
        <f t="shared" si="2"/>
        <v>0</v>
      </c>
    </row>
    <row r="63" spans="1:23" s="43" customFormat="1" ht="24.75" hidden="1" customHeight="1" x14ac:dyDescent="0.25">
      <c r="A63" s="44">
        <v>2</v>
      </c>
      <c r="B63" s="45">
        <v>2</v>
      </c>
      <c r="C63" s="45">
        <v>8</v>
      </c>
      <c r="D63" s="45">
        <v>5</v>
      </c>
      <c r="E63" s="46" t="s">
        <v>33</v>
      </c>
      <c r="F63" s="58" t="s">
        <v>87</v>
      </c>
      <c r="G63" s="85">
        <v>0</v>
      </c>
      <c r="H63" s="85">
        <v>0</v>
      </c>
      <c r="I63" s="37">
        <f t="shared" si="4"/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/>
      <c r="S63" s="48"/>
      <c r="T63" s="50"/>
      <c r="U63" s="48"/>
      <c r="V63" s="54">
        <f t="shared" si="2"/>
        <v>0</v>
      </c>
    </row>
    <row r="64" spans="1:23" s="43" customFormat="1" ht="24.75" customHeight="1" x14ac:dyDescent="0.25">
      <c r="A64" s="44">
        <v>2</v>
      </c>
      <c r="B64" s="45">
        <v>2</v>
      </c>
      <c r="C64" s="45">
        <v>8</v>
      </c>
      <c r="D64" s="45">
        <v>6</v>
      </c>
      <c r="E64" s="46" t="s">
        <v>26</v>
      </c>
      <c r="F64" s="93" t="s">
        <v>88</v>
      </c>
      <c r="G64" s="35">
        <v>7500000</v>
      </c>
      <c r="H64" s="36">
        <v>17000000</v>
      </c>
      <c r="I64" s="37">
        <f t="shared" si="4"/>
        <v>24500000</v>
      </c>
      <c r="J64" s="48">
        <v>1375687.13</v>
      </c>
      <c r="K64" s="48">
        <v>443752</v>
      </c>
      <c r="L64" s="48">
        <v>445650.6</v>
      </c>
      <c r="M64" s="48">
        <v>314148</v>
      </c>
      <c r="N64" s="48">
        <v>1064336.6599999999</v>
      </c>
      <c r="O64" s="48">
        <v>468686.86</v>
      </c>
      <c r="P64" s="48">
        <v>615128.1</v>
      </c>
      <c r="Q64" s="48">
        <v>1623274.57</v>
      </c>
      <c r="R64" s="48"/>
      <c r="S64" s="48"/>
      <c r="T64" s="50"/>
      <c r="U64" s="48"/>
      <c r="V64" s="54">
        <f t="shared" si="2"/>
        <v>6350663.9199999999</v>
      </c>
      <c r="W64" s="42"/>
    </row>
    <row r="65" spans="1:23" s="43" customFormat="1" ht="24.75" customHeight="1" x14ac:dyDescent="0.25">
      <c r="A65" s="44">
        <v>2</v>
      </c>
      <c r="B65" s="45">
        <v>2</v>
      </c>
      <c r="C65" s="45">
        <v>8</v>
      </c>
      <c r="D65" s="45">
        <v>6</v>
      </c>
      <c r="E65" s="46" t="s">
        <v>47</v>
      </c>
      <c r="F65" s="93" t="s">
        <v>89</v>
      </c>
      <c r="G65" s="35">
        <v>4500000</v>
      </c>
      <c r="H65" s="36">
        <v>0</v>
      </c>
      <c r="I65" s="37">
        <f t="shared" si="4"/>
        <v>4500000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/>
      <c r="S65" s="48"/>
      <c r="T65" s="50"/>
      <c r="U65" s="48"/>
      <c r="V65" s="54">
        <f t="shared" si="2"/>
        <v>0</v>
      </c>
    </row>
    <row r="66" spans="1:23" s="43" customFormat="1" ht="24.75" customHeight="1" x14ac:dyDescent="0.25">
      <c r="A66" s="44">
        <v>2</v>
      </c>
      <c r="B66" s="45">
        <v>2</v>
      </c>
      <c r="C66" s="45">
        <v>8</v>
      </c>
      <c r="D66" s="45">
        <v>6</v>
      </c>
      <c r="E66" s="46" t="s">
        <v>33</v>
      </c>
      <c r="F66" s="93" t="s">
        <v>90</v>
      </c>
      <c r="G66" s="35">
        <v>6000000</v>
      </c>
      <c r="H66" s="36">
        <v>0</v>
      </c>
      <c r="I66" s="37">
        <f t="shared" si="4"/>
        <v>6000000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/>
      <c r="S66" s="48"/>
      <c r="T66" s="50"/>
      <c r="U66" s="48"/>
      <c r="V66" s="54">
        <f t="shared" si="2"/>
        <v>0</v>
      </c>
    </row>
    <row r="67" spans="1:23" s="43" customFormat="1" ht="24.75" customHeight="1" x14ac:dyDescent="0.25">
      <c r="A67" s="44">
        <v>2</v>
      </c>
      <c r="B67" s="45">
        <v>2</v>
      </c>
      <c r="C67" s="45">
        <v>8</v>
      </c>
      <c r="D67" s="45">
        <v>6</v>
      </c>
      <c r="E67" s="46" t="s">
        <v>49</v>
      </c>
      <c r="F67" s="93" t="s">
        <v>91</v>
      </c>
      <c r="G67" s="35">
        <v>5000000</v>
      </c>
      <c r="H67" s="36">
        <v>3000000</v>
      </c>
      <c r="I67" s="37">
        <f t="shared" si="4"/>
        <v>8000000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/>
      <c r="S67" s="48"/>
      <c r="T67" s="50"/>
      <c r="U67" s="48"/>
      <c r="V67" s="54">
        <f t="shared" si="2"/>
        <v>0</v>
      </c>
    </row>
    <row r="68" spans="1:23" s="43" customFormat="1" ht="24.75" customHeight="1" x14ac:dyDescent="0.25">
      <c r="A68" s="44">
        <v>2</v>
      </c>
      <c r="B68" s="45">
        <v>2</v>
      </c>
      <c r="C68" s="45">
        <v>8</v>
      </c>
      <c r="D68" s="45">
        <v>7</v>
      </c>
      <c r="E68" s="46" t="s">
        <v>26</v>
      </c>
      <c r="F68" s="93" t="s">
        <v>92</v>
      </c>
      <c r="G68" s="35">
        <v>0</v>
      </c>
      <c r="H68" s="36">
        <v>2500000</v>
      </c>
      <c r="I68" s="37">
        <f t="shared" si="4"/>
        <v>2500000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442500</v>
      </c>
      <c r="R68" s="48"/>
      <c r="S68" s="48"/>
      <c r="T68" s="50"/>
      <c r="U68" s="48"/>
      <c r="V68" s="54">
        <f t="shared" si="2"/>
        <v>442500</v>
      </c>
    </row>
    <row r="69" spans="1:23" s="43" customFormat="1" ht="24.75" customHeight="1" x14ac:dyDescent="0.25">
      <c r="A69" s="44">
        <v>2</v>
      </c>
      <c r="B69" s="45">
        <v>2</v>
      </c>
      <c r="C69" s="45">
        <v>8</v>
      </c>
      <c r="D69" s="45">
        <v>7</v>
      </c>
      <c r="E69" s="46" t="s">
        <v>49</v>
      </c>
      <c r="F69" s="58" t="s">
        <v>93</v>
      </c>
      <c r="G69" s="35">
        <v>11500000</v>
      </c>
      <c r="H69" s="36">
        <v>25973720</v>
      </c>
      <c r="I69" s="37">
        <f t="shared" si="4"/>
        <v>37473720</v>
      </c>
      <c r="J69" s="48">
        <v>0</v>
      </c>
      <c r="K69" s="48">
        <v>0</v>
      </c>
      <c r="L69" s="48">
        <v>0</v>
      </c>
      <c r="M69" s="48">
        <v>45000</v>
      </c>
      <c r="N69" s="48">
        <v>0</v>
      </c>
      <c r="O69" s="48">
        <v>0</v>
      </c>
      <c r="P69" s="48">
        <v>22500</v>
      </c>
      <c r="Q69" s="48">
        <v>43000</v>
      </c>
      <c r="R69" s="48"/>
      <c r="S69" s="48"/>
      <c r="T69" s="50"/>
      <c r="U69" s="48"/>
      <c r="V69" s="54">
        <f t="shared" si="2"/>
        <v>110500</v>
      </c>
      <c r="W69" s="42"/>
    </row>
    <row r="70" spans="1:23" s="43" customFormat="1" ht="24.75" customHeight="1" x14ac:dyDescent="0.25">
      <c r="A70" s="44">
        <v>2</v>
      </c>
      <c r="B70" s="45">
        <v>2</v>
      </c>
      <c r="C70" s="45">
        <v>8</v>
      </c>
      <c r="D70" s="45">
        <v>7</v>
      </c>
      <c r="E70" s="46" t="s">
        <v>38</v>
      </c>
      <c r="F70" s="58" t="s">
        <v>94</v>
      </c>
      <c r="G70" s="35">
        <v>3000000</v>
      </c>
      <c r="H70" s="36">
        <v>0</v>
      </c>
      <c r="I70" s="37">
        <f t="shared" si="4"/>
        <v>3000000</v>
      </c>
      <c r="J70" s="48">
        <v>0</v>
      </c>
      <c r="K70" s="48">
        <v>0</v>
      </c>
      <c r="L70" s="48">
        <v>127440</v>
      </c>
      <c r="M70" s="48">
        <v>0</v>
      </c>
      <c r="N70" s="48">
        <v>119475</v>
      </c>
      <c r="O70" s="48">
        <v>235999.91</v>
      </c>
      <c r="P70" s="48">
        <v>0</v>
      </c>
      <c r="Q70" s="48">
        <v>0</v>
      </c>
      <c r="R70" s="48"/>
      <c r="S70" s="48"/>
      <c r="T70" s="50"/>
      <c r="U70" s="48"/>
      <c r="V70" s="54">
        <f t="shared" si="2"/>
        <v>482914.91000000003</v>
      </c>
    </row>
    <row r="71" spans="1:23" s="43" customFormat="1" ht="24.75" customHeight="1" x14ac:dyDescent="0.25">
      <c r="A71" s="44">
        <v>2</v>
      </c>
      <c r="B71" s="45">
        <v>2</v>
      </c>
      <c r="C71" s="45">
        <v>8</v>
      </c>
      <c r="D71" s="45">
        <v>7</v>
      </c>
      <c r="E71" s="46" t="s">
        <v>29</v>
      </c>
      <c r="F71" s="58" t="s">
        <v>95</v>
      </c>
      <c r="G71" s="35">
        <v>3300000</v>
      </c>
      <c r="H71" s="36">
        <v>5000000</v>
      </c>
      <c r="I71" s="37">
        <f t="shared" si="4"/>
        <v>8300000</v>
      </c>
      <c r="J71" s="48">
        <f>1729288.23+192000</f>
        <v>1921288.23</v>
      </c>
      <c r="K71" s="48">
        <v>192000</v>
      </c>
      <c r="L71" s="48">
        <f>34197.99+702000</f>
        <v>736197.99</v>
      </c>
      <c r="M71" s="48">
        <v>0</v>
      </c>
      <c r="N71" s="48">
        <f>10000+192000</f>
        <v>202000</v>
      </c>
      <c r="O71" s="48">
        <v>0</v>
      </c>
      <c r="P71" s="48">
        <v>797100.01</v>
      </c>
      <c r="Q71" s="48">
        <f>614966.67</f>
        <v>614966.67000000004</v>
      </c>
      <c r="R71" s="48"/>
      <c r="S71" s="48"/>
      <c r="T71" s="50"/>
      <c r="U71" s="48"/>
      <c r="V71" s="54">
        <f t="shared" si="2"/>
        <v>4463552.8999999994</v>
      </c>
      <c r="W71" s="42"/>
    </row>
    <row r="72" spans="1:23" s="43" customFormat="1" ht="24.75" customHeight="1" x14ac:dyDescent="0.25">
      <c r="A72" s="44">
        <v>2</v>
      </c>
      <c r="B72" s="45">
        <v>2</v>
      </c>
      <c r="C72" s="45">
        <v>8</v>
      </c>
      <c r="D72" s="45">
        <v>8</v>
      </c>
      <c r="E72" s="46" t="s">
        <v>26</v>
      </c>
      <c r="F72" s="58" t="s">
        <v>96</v>
      </c>
      <c r="G72" s="35">
        <v>200000</v>
      </c>
      <c r="H72" s="36">
        <v>0</v>
      </c>
      <c r="I72" s="37">
        <f t="shared" si="4"/>
        <v>200000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39110</v>
      </c>
      <c r="R72" s="48"/>
      <c r="S72" s="48"/>
      <c r="T72" s="50">
        <v>0</v>
      </c>
      <c r="U72" s="48"/>
      <c r="V72" s="54">
        <f t="shared" si="2"/>
        <v>39110</v>
      </c>
    </row>
    <row r="73" spans="1:23" s="43" customFormat="1" ht="24.75" customHeight="1" thickBot="1" x14ac:dyDescent="0.3">
      <c r="A73" s="59">
        <v>2</v>
      </c>
      <c r="B73" s="60">
        <v>2</v>
      </c>
      <c r="C73" s="60">
        <v>8</v>
      </c>
      <c r="D73" s="60">
        <v>9</v>
      </c>
      <c r="E73" s="61" t="s">
        <v>97</v>
      </c>
      <c r="F73" s="62" t="s">
        <v>98</v>
      </c>
      <c r="G73" s="94">
        <v>500000</v>
      </c>
      <c r="H73" s="36">
        <v>0</v>
      </c>
      <c r="I73" s="37">
        <f t="shared" si="4"/>
        <v>500000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5">
        <v>0</v>
      </c>
      <c r="U73" s="63">
        <v>0</v>
      </c>
      <c r="V73" s="66">
        <f t="shared" si="2"/>
        <v>0</v>
      </c>
    </row>
    <row r="74" spans="1:23" s="43" customFormat="1" ht="15" customHeight="1" thickBot="1" x14ac:dyDescent="0.3">
      <c r="A74" s="67"/>
      <c r="B74" s="67"/>
      <c r="C74" s="67"/>
      <c r="D74" s="67"/>
      <c r="E74" s="95"/>
      <c r="F74" s="68"/>
      <c r="G74" s="68"/>
      <c r="H74" s="68"/>
      <c r="I74" s="68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70"/>
      <c r="U74" s="69"/>
      <c r="V74" s="71"/>
    </row>
    <row r="75" spans="1:23" s="43" customFormat="1" ht="28.5" customHeight="1" thickBot="1" x14ac:dyDescent="0.3">
      <c r="A75" s="96"/>
      <c r="B75" s="97"/>
      <c r="C75" s="97"/>
      <c r="D75" s="97"/>
      <c r="E75" s="98"/>
      <c r="F75" s="73" t="s">
        <v>99</v>
      </c>
      <c r="G75" s="99">
        <f t="shared" ref="G75:U75" si="5">SUM(G76:G106)</f>
        <v>51733772</v>
      </c>
      <c r="H75" s="99">
        <f t="shared" si="5"/>
        <v>29000000</v>
      </c>
      <c r="I75" s="99">
        <f t="shared" si="5"/>
        <v>80733772</v>
      </c>
      <c r="J75" s="99">
        <f t="shared" si="5"/>
        <v>1561382.2599999995</v>
      </c>
      <c r="K75" s="99">
        <f t="shared" si="5"/>
        <v>1524089.49</v>
      </c>
      <c r="L75" s="99">
        <f t="shared" si="5"/>
        <v>737996.68</v>
      </c>
      <c r="M75" s="99">
        <f t="shared" si="5"/>
        <v>3651095.3</v>
      </c>
      <c r="N75" s="99">
        <f t="shared" si="5"/>
        <v>561439.07999999996</v>
      </c>
      <c r="O75" s="99">
        <f t="shared" si="5"/>
        <v>2737423.9</v>
      </c>
      <c r="P75" s="99">
        <f t="shared" si="5"/>
        <v>1924643.03</v>
      </c>
      <c r="Q75" s="99">
        <f t="shared" si="5"/>
        <v>1676721.09</v>
      </c>
      <c r="R75" s="99">
        <f t="shared" si="5"/>
        <v>0</v>
      </c>
      <c r="S75" s="99">
        <f t="shared" si="5"/>
        <v>0</v>
      </c>
      <c r="T75" s="100">
        <f t="shared" si="5"/>
        <v>0</v>
      </c>
      <c r="U75" s="99">
        <f t="shared" si="5"/>
        <v>0</v>
      </c>
      <c r="V75" s="78">
        <f>SUM(J75:U75)</f>
        <v>14374790.829999998</v>
      </c>
      <c r="W75" s="42"/>
    </row>
    <row r="76" spans="1:23" s="43" customFormat="1" ht="27" customHeight="1" x14ac:dyDescent="0.25">
      <c r="A76" s="31">
        <v>2</v>
      </c>
      <c r="B76" s="32">
        <v>3</v>
      </c>
      <c r="C76" s="32">
        <v>1</v>
      </c>
      <c r="D76" s="32">
        <v>1</v>
      </c>
      <c r="E76" s="33" t="s">
        <v>26</v>
      </c>
      <c r="F76" s="79" t="s">
        <v>100</v>
      </c>
      <c r="G76" s="101">
        <f>1500000</f>
        <v>1500000</v>
      </c>
      <c r="H76" s="36">
        <v>0</v>
      </c>
      <c r="I76" s="37">
        <f t="shared" ref="I76:I106" si="6">SUM(G76:H76)</f>
        <v>1500000</v>
      </c>
      <c r="J76" s="38">
        <v>21171.360000000001</v>
      </c>
      <c r="K76" s="38">
        <v>36997.949999999997</v>
      </c>
      <c r="L76" s="38">
        <v>67582.070000000007</v>
      </c>
      <c r="M76" s="38">
        <v>0</v>
      </c>
      <c r="N76" s="38">
        <v>22984.55</v>
      </c>
      <c r="O76" s="38">
        <v>114841.82</v>
      </c>
      <c r="P76" s="38">
        <v>13138.39</v>
      </c>
      <c r="Q76" s="38">
        <v>208619.27</v>
      </c>
      <c r="R76" s="38"/>
      <c r="S76" s="38"/>
      <c r="T76" s="40"/>
      <c r="U76" s="38"/>
      <c r="V76" s="41">
        <f t="shared" ref="V76:V144" si="7">SUM(J76:U76)</f>
        <v>485335.41000000003</v>
      </c>
    </row>
    <row r="77" spans="1:23" s="43" customFormat="1" ht="25.5" customHeight="1" x14ac:dyDescent="0.25">
      <c r="A77" s="44">
        <v>2</v>
      </c>
      <c r="B77" s="45">
        <v>3</v>
      </c>
      <c r="C77" s="45">
        <v>1</v>
      </c>
      <c r="D77" s="45">
        <v>3</v>
      </c>
      <c r="E77" s="46" t="s">
        <v>26</v>
      </c>
      <c r="F77" s="58" t="s">
        <v>101</v>
      </c>
      <c r="G77" s="36">
        <v>20000</v>
      </c>
      <c r="H77" s="36">
        <v>0</v>
      </c>
      <c r="I77" s="37">
        <f t="shared" si="6"/>
        <v>20000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/>
      <c r="S77" s="48"/>
      <c r="T77" s="50"/>
      <c r="U77" s="48"/>
      <c r="V77" s="54">
        <f t="shared" si="7"/>
        <v>0</v>
      </c>
    </row>
    <row r="78" spans="1:23" s="43" customFormat="1" ht="27" hidden="1" customHeight="1" x14ac:dyDescent="0.25">
      <c r="A78" s="44">
        <v>2</v>
      </c>
      <c r="B78" s="45">
        <v>3</v>
      </c>
      <c r="C78" s="45">
        <v>1</v>
      </c>
      <c r="D78" s="45">
        <v>3</v>
      </c>
      <c r="E78" s="46" t="s">
        <v>47</v>
      </c>
      <c r="F78" s="58" t="s">
        <v>102</v>
      </c>
      <c r="G78" s="36">
        <v>0</v>
      </c>
      <c r="H78" s="36">
        <v>0</v>
      </c>
      <c r="I78" s="37">
        <f t="shared" si="6"/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/>
      <c r="S78" s="48"/>
      <c r="T78" s="50"/>
      <c r="U78" s="48"/>
      <c r="V78" s="54">
        <f t="shared" si="7"/>
        <v>0</v>
      </c>
    </row>
    <row r="79" spans="1:23" s="43" customFormat="1" ht="27" customHeight="1" x14ac:dyDescent="0.25">
      <c r="A79" s="44">
        <v>2</v>
      </c>
      <c r="B79" s="45">
        <v>3</v>
      </c>
      <c r="C79" s="45">
        <v>1</v>
      </c>
      <c r="D79" s="45">
        <v>3</v>
      </c>
      <c r="E79" s="46" t="s">
        <v>33</v>
      </c>
      <c r="F79" s="58" t="s">
        <v>103</v>
      </c>
      <c r="G79" s="36">
        <f>150000</f>
        <v>150000</v>
      </c>
      <c r="H79" s="36">
        <v>0</v>
      </c>
      <c r="I79" s="37">
        <f t="shared" si="6"/>
        <v>150000</v>
      </c>
      <c r="J79" s="48">
        <v>0</v>
      </c>
      <c r="K79" s="48">
        <v>0</v>
      </c>
      <c r="L79" s="48">
        <v>8732</v>
      </c>
      <c r="M79" s="48">
        <v>0</v>
      </c>
      <c r="N79" s="48">
        <v>0</v>
      </c>
      <c r="O79" s="48">
        <v>86140</v>
      </c>
      <c r="P79" s="48">
        <v>0</v>
      </c>
      <c r="Q79" s="48">
        <v>19342</v>
      </c>
      <c r="R79" s="48"/>
      <c r="S79" s="48"/>
      <c r="T79" s="50"/>
      <c r="U79" s="48"/>
      <c r="V79" s="54">
        <f t="shared" si="7"/>
        <v>114214</v>
      </c>
    </row>
    <row r="80" spans="1:23" s="43" customFormat="1" ht="27" customHeight="1" x14ac:dyDescent="0.25">
      <c r="A80" s="44">
        <v>2</v>
      </c>
      <c r="B80" s="45">
        <v>3</v>
      </c>
      <c r="C80" s="45">
        <v>2</v>
      </c>
      <c r="D80" s="45">
        <v>1</v>
      </c>
      <c r="E80" s="46" t="s">
        <v>26</v>
      </c>
      <c r="F80" s="58" t="s">
        <v>104</v>
      </c>
      <c r="G80" s="35">
        <v>800000</v>
      </c>
      <c r="H80" s="36">
        <v>0</v>
      </c>
      <c r="I80" s="37">
        <f t="shared" si="6"/>
        <v>800000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/>
      <c r="S80" s="48"/>
      <c r="T80" s="50"/>
      <c r="U80" s="48"/>
      <c r="V80" s="54">
        <f t="shared" si="7"/>
        <v>0</v>
      </c>
    </row>
    <row r="81" spans="1:23" s="43" customFormat="1" ht="27" customHeight="1" x14ac:dyDescent="0.25">
      <c r="A81" s="44">
        <v>2</v>
      </c>
      <c r="B81" s="45">
        <v>3</v>
      </c>
      <c r="C81" s="45">
        <v>2</v>
      </c>
      <c r="D81" s="45">
        <v>2</v>
      </c>
      <c r="E81" s="46" t="s">
        <v>26</v>
      </c>
      <c r="F81" s="58" t="s">
        <v>105</v>
      </c>
      <c r="G81" s="35">
        <v>3000000</v>
      </c>
      <c r="H81" s="36">
        <v>0</v>
      </c>
      <c r="I81" s="37">
        <f t="shared" si="6"/>
        <v>3000000</v>
      </c>
      <c r="J81" s="48">
        <v>842520</v>
      </c>
      <c r="K81" s="48">
        <v>63366.71</v>
      </c>
      <c r="L81" s="48">
        <v>51920</v>
      </c>
      <c r="M81" s="48">
        <v>0</v>
      </c>
      <c r="N81" s="48">
        <v>0</v>
      </c>
      <c r="O81" s="48">
        <v>30680</v>
      </c>
      <c r="P81" s="48">
        <v>0</v>
      </c>
      <c r="Q81" s="102">
        <v>0</v>
      </c>
      <c r="R81" s="48"/>
      <c r="S81" s="48"/>
      <c r="T81" s="50"/>
      <c r="U81" s="103"/>
      <c r="V81" s="54">
        <f t="shared" si="7"/>
        <v>988486.71</v>
      </c>
    </row>
    <row r="82" spans="1:23" s="43" customFormat="1" ht="27" customHeight="1" x14ac:dyDescent="0.25">
      <c r="A82" s="44">
        <v>2</v>
      </c>
      <c r="B82" s="45">
        <v>3</v>
      </c>
      <c r="C82" s="45">
        <v>2</v>
      </c>
      <c r="D82" s="45">
        <v>3</v>
      </c>
      <c r="E82" s="46" t="s">
        <v>26</v>
      </c>
      <c r="F82" s="58" t="s">
        <v>106</v>
      </c>
      <c r="G82" s="35">
        <v>5000000</v>
      </c>
      <c r="H82" s="36">
        <v>12000000</v>
      </c>
      <c r="I82" s="37">
        <f t="shared" si="6"/>
        <v>17000000</v>
      </c>
      <c r="J82" s="48">
        <v>113693</v>
      </c>
      <c r="K82" s="48">
        <v>106499.13</v>
      </c>
      <c r="L82" s="48">
        <v>19116</v>
      </c>
      <c r="M82" s="48">
        <v>0</v>
      </c>
      <c r="N82" s="48">
        <v>0</v>
      </c>
      <c r="O82" s="48">
        <v>276828</v>
      </c>
      <c r="P82" s="48">
        <v>52805</v>
      </c>
      <c r="Q82" s="48">
        <v>82600</v>
      </c>
      <c r="R82" s="48"/>
      <c r="S82" s="48"/>
      <c r="T82" s="50"/>
      <c r="U82" s="48"/>
      <c r="V82" s="54">
        <f>SUM(J82:U82)</f>
        <v>651541.13</v>
      </c>
      <c r="W82" s="42"/>
    </row>
    <row r="83" spans="1:23" s="43" customFormat="1" ht="27" customHeight="1" x14ac:dyDescent="0.25">
      <c r="A83" s="44">
        <v>2</v>
      </c>
      <c r="B83" s="45">
        <v>3</v>
      </c>
      <c r="C83" s="45">
        <v>3</v>
      </c>
      <c r="D83" s="45">
        <v>1</v>
      </c>
      <c r="E83" s="46" t="s">
        <v>26</v>
      </c>
      <c r="F83" s="58" t="s">
        <v>107</v>
      </c>
      <c r="G83" s="35">
        <v>625000</v>
      </c>
      <c r="H83" s="36">
        <v>0</v>
      </c>
      <c r="I83" s="37">
        <f t="shared" si="6"/>
        <v>625000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/>
      <c r="S83" s="48"/>
      <c r="T83" s="50"/>
      <c r="U83" s="48"/>
      <c r="V83" s="54">
        <f t="shared" si="7"/>
        <v>0</v>
      </c>
    </row>
    <row r="84" spans="1:23" s="43" customFormat="1" ht="27" customHeight="1" x14ac:dyDescent="0.25">
      <c r="A84" s="44">
        <v>2</v>
      </c>
      <c r="B84" s="45">
        <v>3</v>
      </c>
      <c r="C84" s="45">
        <v>3</v>
      </c>
      <c r="D84" s="45">
        <v>3</v>
      </c>
      <c r="E84" s="46" t="s">
        <v>26</v>
      </c>
      <c r="F84" s="58" t="s">
        <v>108</v>
      </c>
      <c r="G84" s="35">
        <v>250000</v>
      </c>
      <c r="H84" s="36">
        <v>0</v>
      </c>
      <c r="I84" s="37">
        <f t="shared" si="6"/>
        <v>250000</v>
      </c>
      <c r="J84" s="48">
        <v>0</v>
      </c>
      <c r="K84" s="48">
        <v>2312.8000000000002</v>
      </c>
      <c r="L84" s="48">
        <v>87744.8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/>
      <c r="S84" s="48"/>
      <c r="T84" s="50"/>
      <c r="U84" s="48"/>
      <c r="V84" s="54">
        <f t="shared" si="7"/>
        <v>90057.600000000006</v>
      </c>
      <c r="W84" s="42"/>
    </row>
    <row r="85" spans="1:23" s="43" customFormat="1" ht="27" customHeight="1" x14ac:dyDescent="0.25">
      <c r="A85" s="44">
        <v>2</v>
      </c>
      <c r="B85" s="45">
        <v>3</v>
      </c>
      <c r="C85" s="45">
        <v>3</v>
      </c>
      <c r="D85" s="45">
        <v>4</v>
      </c>
      <c r="E85" s="46" t="s">
        <v>26</v>
      </c>
      <c r="F85" s="58" t="s">
        <v>109</v>
      </c>
      <c r="G85" s="35">
        <v>250000</v>
      </c>
      <c r="H85" s="36">
        <v>0</v>
      </c>
      <c r="I85" s="37">
        <f t="shared" si="6"/>
        <v>250000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/>
      <c r="S85" s="48"/>
      <c r="T85" s="50"/>
      <c r="U85" s="48"/>
      <c r="V85" s="54">
        <f t="shared" si="7"/>
        <v>0</v>
      </c>
    </row>
    <row r="86" spans="1:23" s="43" customFormat="1" ht="0.75" hidden="1" customHeight="1" x14ac:dyDescent="0.25">
      <c r="A86" s="44">
        <v>2</v>
      </c>
      <c r="B86" s="45">
        <v>3</v>
      </c>
      <c r="C86" s="45">
        <v>4</v>
      </c>
      <c r="D86" s="45">
        <v>1</v>
      </c>
      <c r="E86" s="46" t="s">
        <v>26</v>
      </c>
      <c r="F86" s="84" t="s">
        <v>110</v>
      </c>
      <c r="G86" s="91">
        <v>0</v>
      </c>
      <c r="H86" s="91">
        <v>0</v>
      </c>
      <c r="I86" s="37">
        <f t="shared" si="6"/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/>
      <c r="S86" s="48"/>
      <c r="T86" s="50"/>
      <c r="U86" s="48"/>
      <c r="V86" s="54">
        <f t="shared" si="7"/>
        <v>0</v>
      </c>
    </row>
    <row r="87" spans="1:23" s="43" customFormat="1" ht="27" hidden="1" customHeight="1" x14ac:dyDescent="0.25">
      <c r="A87" s="44">
        <v>2</v>
      </c>
      <c r="B87" s="45">
        <v>3</v>
      </c>
      <c r="C87" s="45">
        <v>5</v>
      </c>
      <c r="D87" s="45">
        <v>1</v>
      </c>
      <c r="E87" s="46" t="s">
        <v>26</v>
      </c>
      <c r="F87" s="58" t="s">
        <v>111</v>
      </c>
      <c r="G87" s="85">
        <v>0</v>
      </c>
      <c r="H87" s="85">
        <v>0</v>
      </c>
      <c r="I87" s="37">
        <f t="shared" si="6"/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/>
      <c r="S87" s="48"/>
      <c r="T87" s="50"/>
      <c r="U87" s="48"/>
      <c r="V87" s="54">
        <f t="shared" si="7"/>
        <v>0</v>
      </c>
    </row>
    <row r="88" spans="1:23" s="43" customFormat="1" ht="27" customHeight="1" x14ac:dyDescent="0.25">
      <c r="A88" s="44">
        <v>2</v>
      </c>
      <c r="B88" s="45">
        <v>3</v>
      </c>
      <c r="C88" s="45">
        <v>5</v>
      </c>
      <c r="D88" s="45">
        <v>3</v>
      </c>
      <c r="E88" s="46" t="s">
        <v>26</v>
      </c>
      <c r="F88" s="58" t="s">
        <v>112</v>
      </c>
      <c r="G88" s="35">
        <v>3650000</v>
      </c>
      <c r="H88" s="36">
        <v>0</v>
      </c>
      <c r="I88" s="37">
        <f t="shared" si="6"/>
        <v>3650000</v>
      </c>
      <c r="J88" s="48">
        <v>0</v>
      </c>
      <c r="K88" s="48">
        <v>0</v>
      </c>
      <c r="L88" s="48">
        <v>0</v>
      </c>
      <c r="M88" s="48">
        <v>0</v>
      </c>
      <c r="N88" s="48">
        <v>56050</v>
      </c>
      <c r="O88" s="48">
        <v>0</v>
      </c>
      <c r="P88" s="48">
        <v>0</v>
      </c>
      <c r="Q88" s="48">
        <v>0</v>
      </c>
      <c r="R88" s="48"/>
      <c r="S88" s="48"/>
      <c r="T88" s="50"/>
      <c r="U88" s="48"/>
      <c r="V88" s="54">
        <f t="shared" si="7"/>
        <v>56050</v>
      </c>
    </row>
    <row r="89" spans="1:23" s="43" customFormat="1" ht="27" customHeight="1" x14ac:dyDescent="0.25">
      <c r="A89" s="44">
        <v>2</v>
      </c>
      <c r="B89" s="45">
        <v>3</v>
      </c>
      <c r="C89" s="45">
        <v>5</v>
      </c>
      <c r="D89" s="45">
        <v>5</v>
      </c>
      <c r="E89" s="46" t="s">
        <v>26</v>
      </c>
      <c r="F89" s="58" t="s">
        <v>113</v>
      </c>
      <c r="G89" s="35">
        <v>1670404</v>
      </c>
      <c r="H89" s="36">
        <v>15000000</v>
      </c>
      <c r="I89" s="37">
        <f t="shared" si="6"/>
        <v>16670404</v>
      </c>
      <c r="J89" s="48">
        <v>192576</v>
      </c>
      <c r="K89" s="48">
        <v>396480</v>
      </c>
      <c r="L89" s="48">
        <v>0</v>
      </c>
      <c r="M89" s="48">
        <v>991000</v>
      </c>
      <c r="N89" s="48">
        <v>0</v>
      </c>
      <c r="O89" s="48">
        <v>0</v>
      </c>
      <c r="P89" s="48">
        <v>0</v>
      </c>
      <c r="Q89" s="48">
        <v>0</v>
      </c>
      <c r="R89" s="48"/>
      <c r="S89" s="48"/>
      <c r="T89" s="50"/>
      <c r="U89" s="48"/>
      <c r="V89" s="54">
        <f t="shared" si="7"/>
        <v>1580056</v>
      </c>
    </row>
    <row r="90" spans="1:23" s="43" customFormat="1" ht="27" customHeight="1" x14ac:dyDescent="0.25">
      <c r="A90" s="44">
        <v>2</v>
      </c>
      <c r="B90" s="45">
        <v>3</v>
      </c>
      <c r="C90" s="45">
        <v>6</v>
      </c>
      <c r="D90" s="45">
        <v>1</v>
      </c>
      <c r="E90" s="46" t="s">
        <v>26</v>
      </c>
      <c r="F90" s="58" t="s">
        <v>114</v>
      </c>
      <c r="G90" s="35">
        <v>150000</v>
      </c>
      <c r="H90" s="36">
        <v>0</v>
      </c>
      <c r="I90" s="37">
        <f t="shared" si="6"/>
        <v>150000</v>
      </c>
      <c r="J90" s="48">
        <v>718.62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/>
      <c r="S90" s="48"/>
      <c r="T90" s="50"/>
      <c r="U90" s="48"/>
      <c r="V90" s="54">
        <f t="shared" si="7"/>
        <v>718.62</v>
      </c>
    </row>
    <row r="91" spans="1:23" s="43" customFormat="1" ht="27" customHeight="1" x14ac:dyDescent="0.25">
      <c r="A91" s="44">
        <v>2</v>
      </c>
      <c r="B91" s="45">
        <v>3</v>
      </c>
      <c r="C91" s="45">
        <v>6</v>
      </c>
      <c r="D91" s="45">
        <v>3</v>
      </c>
      <c r="E91" s="46" t="s">
        <v>33</v>
      </c>
      <c r="F91" s="58" t="s">
        <v>115</v>
      </c>
      <c r="G91" s="35">
        <v>400000</v>
      </c>
      <c r="H91" s="36">
        <v>0</v>
      </c>
      <c r="I91" s="37">
        <f t="shared" si="6"/>
        <v>400000</v>
      </c>
      <c r="J91" s="48">
        <v>55460</v>
      </c>
      <c r="K91" s="48">
        <v>1295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/>
      <c r="S91" s="48"/>
      <c r="T91" s="50"/>
      <c r="U91" s="48"/>
      <c r="V91" s="54">
        <f t="shared" si="7"/>
        <v>56755</v>
      </c>
      <c r="W91" s="42"/>
    </row>
    <row r="92" spans="1:23" s="43" customFormat="1" ht="27" customHeight="1" x14ac:dyDescent="0.25">
      <c r="A92" s="44">
        <v>2</v>
      </c>
      <c r="B92" s="45">
        <v>3</v>
      </c>
      <c r="C92" s="45">
        <v>6</v>
      </c>
      <c r="D92" s="45">
        <v>3</v>
      </c>
      <c r="E92" s="46" t="s">
        <v>49</v>
      </c>
      <c r="F92" s="58" t="s">
        <v>116</v>
      </c>
      <c r="G92" s="35">
        <v>3500000</v>
      </c>
      <c r="H92" s="36">
        <v>0</v>
      </c>
      <c r="I92" s="37">
        <f t="shared" si="6"/>
        <v>3500000</v>
      </c>
      <c r="J92" s="48">
        <v>28564.39</v>
      </c>
      <c r="K92" s="48">
        <v>68853</v>
      </c>
      <c r="L92" s="48">
        <v>0</v>
      </c>
      <c r="M92" s="48">
        <v>164882.57999999999</v>
      </c>
      <c r="N92" s="48">
        <v>0</v>
      </c>
      <c r="O92" s="48">
        <v>0</v>
      </c>
      <c r="P92" s="48">
        <v>276031.5</v>
      </c>
      <c r="Q92" s="48">
        <v>68587.5</v>
      </c>
      <c r="R92" s="48"/>
      <c r="S92" s="48"/>
      <c r="T92" s="50"/>
      <c r="U92" s="48"/>
      <c r="V92" s="54">
        <f t="shared" si="7"/>
        <v>606918.97</v>
      </c>
      <c r="W92" s="42"/>
    </row>
    <row r="93" spans="1:23" s="43" customFormat="1" ht="27" customHeight="1" x14ac:dyDescent="0.25">
      <c r="A93" s="86">
        <v>2</v>
      </c>
      <c r="B93" s="82">
        <v>3</v>
      </c>
      <c r="C93" s="82">
        <v>6</v>
      </c>
      <c r="D93" s="82">
        <v>4</v>
      </c>
      <c r="E93" s="83" t="s">
        <v>38</v>
      </c>
      <c r="F93" s="84" t="s">
        <v>117</v>
      </c>
      <c r="G93" s="35">
        <v>500000</v>
      </c>
      <c r="H93" s="36">
        <v>0</v>
      </c>
      <c r="I93" s="37">
        <f t="shared" si="6"/>
        <v>500000</v>
      </c>
      <c r="J93" s="48">
        <v>0</v>
      </c>
      <c r="K93" s="48">
        <v>0</v>
      </c>
      <c r="L93" s="48">
        <v>0</v>
      </c>
      <c r="M93" s="48"/>
      <c r="N93" s="48"/>
      <c r="O93" s="48">
        <v>0</v>
      </c>
      <c r="P93" s="48">
        <v>0</v>
      </c>
      <c r="Q93" s="48">
        <v>0</v>
      </c>
      <c r="R93" s="48"/>
      <c r="S93" s="48"/>
      <c r="T93" s="50"/>
      <c r="U93" s="48"/>
      <c r="V93" s="54">
        <f t="shared" si="7"/>
        <v>0</v>
      </c>
    </row>
    <row r="94" spans="1:23" s="43" customFormat="1" ht="27" customHeight="1" x14ac:dyDescent="0.25">
      <c r="A94" s="44">
        <v>2</v>
      </c>
      <c r="B94" s="45">
        <v>3</v>
      </c>
      <c r="C94" s="45">
        <v>7</v>
      </c>
      <c r="D94" s="45">
        <v>1</v>
      </c>
      <c r="E94" s="46" t="s">
        <v>26</v>
      </c>
      <c r="F94" s="58" t="s">
        <v>118</v>
      </c>
      <c r="G94" s="35">
        <v>8000000</v>
      </c>
      <c r="H94" s="36">
        <v>0</v>
      </c>
      <c r="I94" s="37">
        <f t="shared" si="6"/>
        <v>8000000</v>
      </c>
      <c r="J94" s="48">
        <v>265816.64</v>
      </c>
      <c r="K94" s="48">
        <v>823478.99</v>
      </c>
      <c r="L94" s="48">
        <f>858379.9-600000</f>
        <v>258379.90000000002</v>
      </c>
      <c r="M94" s="48">
        <v>1479317.34</v>
      </c>
      <c r="N94" s="48">
        <v>246858.13</v>
      </c>
      <c r="O94" s="48">
        <v>1450711.3</v>
      </c>
      <c r="P94" s="48">
        <v>836731.33</v>
      </c>
      <c r="Q94" s="48">
        <v>217074.17</v>
      </c>
      <c r="R94" s="48"/>
      <c r="S94" s="48"/>
      <c r="T94" s="50"/>
      <c r="U94" s="48"/>
      <c r="V94" s="54">
        <f t="shared" si="7"/>
        <v>5578367.7999999998</v>
      </c>
      <c r="W94" s="42"/>
    </row>
    <row r="95" spans="1:23" s="43" customFormat="1" ht="27" customHeight="1" x14ac:dyDescent="0.25">
      <c r="A95" s="44">
        <v>2</v>
      </c>
      <c r="B95" s="45">
        <v>3</v>
      </c>
      <c r="C95" s="45">
        <v>7</v>
      </c>
      <c r="D95" s="45">
        <v>1</v>
      </c>
      <c r="E95" s="46" t="s">
        <v>47</v>
      </c>
      <c r="F95" s="58" t="s">
        <v>119</v>
      </c>
      <c r="G95" s="35">
        <v>14000000</v>
      </c>
      <c r="H95" s="36">
        <v>0</v>
      </c>
      <c r="I95" s="37">
        <f t="shared" si="6"/>
        <v>14000000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151270</v>
      </c>
      <c r="P95" s="48">
        <v>0</v>
      </c>
      <c r="Q95" s="48">
        <v>0</v>
      </c>
      <c r="R95" s="48"/>
      <c r="S95" s="48"/>
      <c r="T95" s="50"/>
      <c r="U95" s="48"/>
      <c r="V95" s="54">
        <f t="shared" si="7"/>
        <v>151270</v>
      </c>
    </row>
    <row r="96" spans="1:23" s="43" customFormat="1" ht="27" customHeight="1" x14ac:dyDescent="0.25">
      <c r="A96" s="44">
        <v>2</v>
      </c>
      <c r="B96" s="45">
        <v>3</v>
      </c>
      <c r="C96" s="45">
        <v>7</v>
      </c>
      <c r="D96" s="45">
        <v>1</v>
      </c>
      <c r="E96" s="46" t="s">
        <v>49</v>
      </c>
      <c r="F96" s="58" t="s">
        <v>120</v>
      </c>
      <c r="G96" s="35">
        <v>500000</v>
      </c>
      <c r="H96" s="36">
        <v>0</v>
      </c>
      <c r="I96" s="37">
        <f t="shared" si="6"/>
        <v>500000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885</v>
      </c>
      <c r="P96" s="48">
        <v>0</v>
      </c>
      <c r="Q96" s="48">
        <v>0</v>
      </c>
      <c r="R96" s="48"/>
      <c r="S96" s="48"/>
      <c r="T96" s="50"/>
      <c r="U96" s="48"/>
      <c r="V96" s="54">
        <f t="shared" si="7"/>
        <v>885</v>
      </c>
    </row>
    <row r="97" spans="1:23" s="43" customFormat="1" ht="27" customHeight="1" x14ac:dyDescent="0.25">
      <c r="A97" s="44">
        <v>2</v>
      </c>
      <c r="B97" s="45">
        <v>3</v>
      </c>
      <c r="C97" s="45">
        <v>7</v>
      </c>
      <c r="D97" s="45">
        <v>2</v>
      </c>
      <c r="E97" s="46" t="s">
        <v>38</v>
      </c>
      <c r="F97" s="84" t="s">
        <v>121</v>
      </c>
      <c r="G97" s="35">
        <v>223101</v>
      </c>
      <c r="H97" s="36">
        <v>0</v>
      </c>
      <c r="I97" s="37">
        <f t="shared" si="6"/>
        <v>223101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/>
      <c r="S97" s="48"/>
      <c r="T97" s="50"/>
      <c r="U97" s="48"/>
      <c r="V97" s="54">
        <f t="shared" si="7"/>
        <v>0</v>
      </c>
    </row>
    <row r="98" spans="1:23" s="43" customFormat="1" ht="27" customHeight="1" x14ac:dyDescent="0.25">
      <c r="A98" s="44">
        <v>2</v>
      </c>
      <c r="B98" s="45">
        <v>3</v>
      </c>
      <c r="C98" s="45">
        <v>7</v>
      </c>
      <c r="D98" s="45">
        <v>1</v>
      </c>
      <c r="E98" s="46" t="s">
        <v>38</v>
      </c>
      <c r="F98" s="84" t="s">
        <v>122</v>
      </c>
      <c r="G98" s="35">
        <v>500000</v>
      </c>
      <c r="H98" s="36">
        <v>0</v>
      </c>
      <c r="I98" s="37">
        <f t="shared" si="6"/>
        <v>500000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/>
      <c r="S98" s="48"/>
      <c r="T98" s="50"/>
      <c r="U98" s="48"/>
      <c r="V98" s="54">
        <f t="shared" si="7"/>
        <v>0</v>
      </c>
    </row>
    <row r="99" spans="1:23" s="43" customFormat="1" ht="27" customHeight="1" x14ac:dyDescent="0.25">
      <c r="A99" s="44">
        <v>2</v>
      </c>
      <c r="B99" s="45">
        <v>3</v>
      </c>
      <c r="C99" s="45">
        <v>7</v>
      </c>
      <c r="D99" s="45">
        <v>1</v>
      </c>
      <c r="E99" s="46" t="s">
        <v>29</v>
      </c>
      <c r="F99" s="84" t="s">
        <v>123</v>
      </c>
      <c r="G99" s="35">
        <f>500000</f>
        <v>500000</v>
      </c>
      <c r="H99" s="36">
        <v>0</v>
      </c>
      <c r="I99" s="37">
        <f t="shared" si="6"/>
        <v>500000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/>
      <c r="S99" s="48"/>
      <c r="T99" s="50"/>
      <c r="U99" s="48"/>
      <c r="V99" s="54">
        <f t="shared" si="7"/>
        <v>0</v>
      </c>
    </row>
    <row r="100" spans="1:23" s="43" customFormat="1" ht="27" customHeight="1" x14ac:dyDescent="0.25">
      <c r="A100" s="44">
        <v>2</v>
      </c>
      <c r="B100" s="45">
        <v>3</v>
      </c>
      <c r="C100" s="45">
        <v>7</v>
      </c>
      <c r="D100" s="45">
        <v>2</v>
      </c>
      <c r="E100" s="46" t="s">
        <v>29</v>
      </c>
      <c r="F100" s="104" t="s">
        <v>124</v>
      </c>
      <c r="G100" s="35">
        <v>0</v>
      </c>
      <c r="H100" s="36">
        <v>500000</v>
      </c>
      <c r="I100" s="37">
        <f t="shared" si="6"/>
        <v>500000</v>
      </c>
      <c r="J100" s="48">
        <v>2134.38</v>
      </c>
      <c r="K100" s="48">
        <v>0</v>
      </c>
      <c r="L100" s="48">
        <v>0</v>
      </c>
      <c r="M100" s="48">
        <v>0</v>
      </c>
      <c r="N100" s="48">
        <v>0</v>
      </c>
      <c r="O100" s="48">
        <v>129977</v>
      </c>
      <c r="P100" s="48">
        <v>0</v>
      </c>
      <c r="Q100" s="48">
        <v>0</v>
      </c>
      <c r="R100" s="48"/>
      <c r="S100" s="48"/>
      <c r="T100" s="50"/>
      <c r="U100" s="48"/>
      <c r="V100" s="54">
        <f t="shared" si="7"/>
        <v>132111.38</v>
      </c>
    </row>
    <row r="101" spans="1:23" s="43" customFormat="1" ht="27" customHeight="1" x14ac:dyDescent="0.25">
      <c r="A101" s="44">
        <v>2</v>
      </c>
      <c r="B101" s="45">
        <v>3</v>
      </c>
      <c r="C101" s="45">
        <v>9</v>
      </c>
      <c r="D101" s="45">
        <v>1</v>
      </c>
      <c r="E101" s="46" t="s">
        <v>26</v>
      </c>
      <c r="F101" s="58" t="s">
        <v>125</v>
      </c>
      <c r="G101" s="35">
        <f>800000</f>
        <v>800000</v>
      </c>
      <c r="H101" s="36">
        <v>0</v>
      </c>
      <c r="I101" s="37">
        <f t="shared" si="6"/>
        <v>800000</v>
      </c>
      <c r="J101" s="48">
        <v>0</v>
      </c>
      <c r="K101" s="48">
        <v>0</v>
      </c>
      <c r="L101" s="48">
        <v>0</v>
      </c>
      <c r="M101" s="48">
        <v>163728.54</v>
      </c>
      <c r="N101" s="48">
        <v>0</v>
      </c>
      <c r="O101" s="48">
        <v>412550.42</v>
      </c>
      <c r="P101" s="48">
        <v>0</v>
      </c>
      <c r="Q101" s="48">
        <v>0</v>
      </c>
      <c r="R101" s="48"/>
      <c r="S101" s="48"/>
      <c r="T101" s="50"/>
      <c r="U101" s="48"/>
      <c r="V101" s="54">
        <f t="shared" si="7"/>
        <v>576278.96</v>
      </c>
    </row>
    <row r="102" spans="1:23" s="43" customFormat="1" ht="27" customHeight="1" x14ac:dyDescent="0.25">
      <c r="A102" s="44">
        <v>2</v>
      </c>
      <c r="B102" s="45">
        <v>3</v>
      </c>
      <c r="C102" s="45">
        <v>9</v>
      </c>
      <c r="D102" s="45">
        <v>2</v>
      </c>
      <c r="E102" s="46" t="s">
        <v>26</v>
      </c>
      <c r="F102" s="58" t="s">
        <v>126</v>
      </c>
      <c r="G102" s="35">
        <v>3500000</v>
      </c>
      <c r="H102" s="35">
        <f>1500000-150000</f>
        <v>1350000</v>
      </c>
      <c r="I102" s="37">
        <f t="shared" si="6"/>
        <v>4850000</v>
      </c>
      <c r="J102" s="48">
        <v>34414.699999999997</v>
      </c>
      <c r="K102" s="48">
        <v>0</v>
      </c>
      <c r="L102" s="48">
        <v>172502.26</v>
      </c>
      <c r="M102" s="48">
        <v>852166.84</v>
      </c>
      <c r="N102" s="48">
        <v>95580</v>
      </c>
      <c r="O102" s="48">
        <v>0</v>
      </c>
      <c r="P102" s="48">
        <v>472054.02</v>
      </c>
      <c r="Q102" s="48">
        <v>961965.12</v>
      </c>
      <c r="R102" s="48"/>
      <c r="S102" s="48"/>
      <c r="T102" s="50"/>
      <c r="U102" s="48"/>
      <c r="V102" s="54">
        <f>SUM(J102:U102)</f>
        <v>2588682.94</v>
      </c>
      <c r="W102" s="42"/>
    </row>
    <row r="103" spans="1:23" s="43" customFormat="1" ht="27" customHeight="1" x14ac:dyDescent="0.25">
      <c r="A103" s="44">
        <v>2</v>
      </c>
      <c r="B103" s="45">
        <v>3</v>
      </c>
      <c r="C103" s="45">
        <v>9</v>
      </c>
      <c r="D103" s="45">
        <v>5</v>
      </c>
      <c r="E103" s="46" t="s">
        <v>26</v>
      </c>
      <c r="F103" s="58" t="s">
        <v>127</v>
      </c>
      <c r="G103" s="35">
        <v>0</v>
      </c>
      <c r="H103" s="35">
        <v>150000</v>
      </c>
      <c r="I103" s="37">
        <f t="shared" si="6"/>
        <v>150000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37170</v>
      </c>
      <c r="R103" s="48"/>
      <c r="S103" s="48"/>
      <c r="T103" s="50"/>
      <c r="U103" s="48"/>
      <c r="V103" s="54">
        <f t="shared" si="7"/>
        <v>37170</v>
      </c>
    </row>
    <row r="104" spans="1:23" s="43" customFormat="1" ht="25.5" customHeight="1" x14ac:dyDescent="0.25">
      <c r="A104" s="44">
        <v>2</v>
      </c>
      <c r="B104" s="45">
        <v>3</v>
      </c>
      <c r="C104" s="45">
        <v>9</v>
      </c>
      <c r="D104" s="45">
        <v>6</v>
      </c>
      <c r="E104" s="46" t="s">
        <v>26</v>
      </c>
      <c r="F104" s="58" t="s">
        <v>128</v>
      </c>
      <c r="G104" s="35">
        <f>500000</f>
        <v>500000</v>
      </c>
      <c r="H104" s="36">
        <v>0</v>
      </c>
      <c r="I104" s="37">
        <f t="shared" si="6"/>
        <v>500000</v>
      </c>
      <c r="J104" s="48">
        <v>0</v>
      </c>
      <c r="K104" s="48">
        <v>0</v>
      </c>
      <c r="L104" s="48">
        <v>0</v>
      </c>
      <c r="M104" s="48">
        <v>0</v>
      </c>
      <c r="N104" s="48">
        <v>100428.38</v>
      </c>
      <c r="O104" s="48">
        <v>0</v>
      </c>
      <c r="P104" s="48">
        <v>218653.8</v>
      </c>
      <c r="Q104" s="48">
        <v>18832.8</v>
      </c>
      <c r="R104" s="48"/>
      <c r="S104" s="48"/>
      <c r="T104" s="50"/>
      <c r="U104" s="48"/>
      <c r="V104" s="54">
        <f t="shared" si="7"/>
        <v>337914.98</v>
      </c>
    </row>
    <row r="105" spans="1:23" s="43" customFormat="1" ht="27" hidden="1" customHeight="1" x14ac:dyDescent="0.25">
      <c r="A105" s="44">
        <v>2</v>
      </c>
      <c r="B105" s="45">
        <v>3</v>
      </c>
      <c r="C105" s="45">
        <v>9</v>
      </c>
      <c r="D105" s="45">
        <v>8</v>
      </c>
      <c r="E105" s="46" t="s">
        <v>26</v>
      </c>
      <c r="F105" s="93" t="s">
        <v>129</v>
      </c>
      <c r="G105" s="105">
        <v>0</v>
      </c>
      <c r="H105" s="105">
        <v>0</v>
      </c>
      <c r="I105" s="37">
        <f t="shared" si="6"/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/>
      <c r="S105" s="48"/>
      <c r="T105" s="50"/>
      <c r="U105" s="48"/>
      <c r="V105" s="54">
        <f t="shared" si="7"/>
        <v>0</v>
      </c>
    </row>
    <row r="106" spans="1:23" s="43" customFormat="1" ht="27" customHeight="1" thickBot="1" x14ac:dyDescent="0.3">
      <c r="A106" s="59">
        <v>2</v>
      </c>
      <c r="B106" s="60">
        <v>3</v>
      </c>
      <c r="C106" s="60">
        <v>9</v>
      </c>
      <c r="D106" s="60">
        <v>9</v>
      </c>
      <c r="E106" s="61" t="s">
        <v>26</v>
      </c>
      <c r="F106" s="62" t="s">
        <v>130</v>
      </c>
      <c r="G106" s="94">
        <v>1745267</v>
      </c>
      <c r="H106" s="36">
        <v>0</v>
      </c>
      <c r="I106" s="37">
        <f t="shared" si="6"/>
        <v>1745267</v>
      </c>
      <c r="J106" s="63">
        <v>4313.17</v>
      </c>
      <c r="K106" s="63">
        <v>24805.91</v>
      </c>
      <c r="L106" s="63">
        <v>72019.649999999994</v>
      </c>
      <c r="M106" s="63">
        <v>0</v>
      </c>
      <c r="N106" s="63">
        <v>39538.019999999997</v>
      </c>
      <c r="O106" s="63">
        <v>83540.36</v>
      </c>
      <c r="P106" s="63">
        <v>55228.99</v>
      </c>
      <c r="Q106" s="63">
        <v>62530.23</v>
      </c>
      <c r="R106" s="63"/>
      <c r="S106" s="63"/>
      <c r="T106" s="65"/>
      <c r="U106" s="63"/>
      <c r="V106" s="66">
        <f t="shared" si="7"/>
        <v>341976.32999999996</v>
      </c>
      <c r="W106" s="42"/>
    </row>
    <row r="107" spans="1:23" s="43" customFormat="1" ht="7.5" customHeight="1" thickBot="1" x14ac:dyDescent="0.3">
      <c r="A107" s="67"/>
      <c r="B107" s="67"/>
      <c r="C107" s="67"/>
      <c r="D107" s="67"/>
      <c r="E107" s="95"/>
      <c r="F107" s="68"/>
      <c r="G107" s="68"/>
      <c r="H107" s="68"/>
      <c r="I107" s="68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70"/>
      <c r="U107" s="69"/>
      <c r="V107" s="71"/>
      <c r="W107" s="42"/>
    </row>
    <row r="108" spans="1:23" s="43" customFormat="1" ht="26.25" customHeight="1" thickBot="1" x14ac:dyDescent="0.3">
      <c r="A108" s="106"/>
      <c r="B108" s="107"/>
      <c r="C108" s="107"/>
      <c r="D108" s="107"/>
      <c r="E108" s="98"/>
      <c r="F108" s="73" t="s">
        <v>131</v>
      </c>
      <c r="G108" s="76">
        <f t="shared" ref="G108:V108" si="8">SUM(G109:G119)</f>
        <v>274800000</v>
      </c>
      <c r="H108" s="76">
        <f t="shared" si="8"/>
        <v>221700000</v>
      </c>
      <c r="I108" s="76">
        <f t="shared" si="8"/>
        <v>496500000</v>
      </c>
      <c r="J108" s="76">
        <f t="shared" si="8"/>
        <v>82168625</v>
      </c>
      <c r="K108" s="76">
        <f t="shared" si="8"/>
        <v>55770552</v>
      </c>
      <c r="L108" s="76">
        <f t="shared" si="8"/>
        <v>19784361.16</v>
      </c>
      <c r="M108" s="76">
        <f t="shared" si="8"/>
        <v>48475613.5</v>
      </c>
      <c r="N108" s="76">
        <f t="shared" si="8"/>
        <v>30861498</v>
      </c>
      <c r="O108" s="76">
        <f t="shared" si="8"/>
        <v>43419226</v>
      </c>
      <c r="P108" s="76">
        <f t="shared" si="8"/>
        <v>39267202.18</v>
      </c>
      <c r="Q108" s="76">
        <f t="shared" si="8"/>
        <v>40696084.810000002</v>
      </c>
      <c r="R108" s="76">
        <f t="shared" si="8"/>
        <v>0</v>
      </c>
      <c r="S108" s="76">
        <f t="shared" si="8"/>
        <v>0</v>
      </c>
      <c r="T108" s="76">
        <f t="shared" si="8"/>
        <v>0</v>
      </c>
      <c r="U108" s="76">
        <f t="shared" si="8"/>
        <v>0</v>
      </c>
      <c r="V108" s="108">
        <f t="shared" si="8"/>
        <v>360443162.64999998</v>
      </c>
      <c r="W108" s="42"/>
    </row>
    <row r="109" spans="1:23" s="43" customFormat="1" ht="27.75" hidden="1" customHeight="1" x14ac:dyDescent="0.25">
      <c r="A109" s="31">
        <v>2</v>
      </c>
      <c r="B109" s="32">
        <v>4</v>
      </c>
      <c r="C109" s="109">
        <v>1</v>
      </c>
      <c r="D109" s="109">
        <v>1</v>
      </c>
      <c r="E109" s="110" t="s">
        <v>26</v>
      </c>
      <c r="F109" s="79" t="s">
        <v>132</v>
      </c>
      <c r="G109" s="111">
        <v>0</v>
      </c>
      <c r="H109" s="111">
        <v>0</v>
      </c>
      <c r="I109" s="37">
        <f t="shared" ref="I109:I119" si="9">SUM(G109:H109)</f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/>
      <c r="T109" s="38"/>
      <c r="U109" s="38"/>
      <c r="V109" s="41">
        <f t="shared" si="7"/>
        <v>0</v>
      </c>
    </row>
    <row r="110" spans="1:23" s="43" customFormat="1" ht="23.25" customHeight="1" x14ac:dyDescent="0.25">
      <c r="A110" s="44">
        <v>2</v>
      </c>
      <c r="B110" s="45">
        <v>4</v>
      </c>
      <c r="C110" s="82">
        <v>1</v>
      </c>
      <c r="D110" s="45">
        <v>2</v>
      </c>
      <c r="E110" s="46" t="s">
        <v>26</v>
      </c>
      <c r="F110" s="58" t="s">
        <v>133</v>
      </c>
      <c r="G110" s="35">
        <v>1000000</v>
      </c>
      <c r="H110" s="36">
        <v>0</v>
      </c>
      <c r="I110" s="37">
        <f t="shared" si="9"/>
        <v>1000000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/>
      <c r="T110" s="50"/>
      <c r="U110" s="48"/>
      <c r="V110" s="54">
        <f t="shared" si="7"/>
        <v>0</v>
      </c>
    </row>
    <row r="111" spans="1:23" s="43" customFormat="1" ht="23.25" customHeight="1" x14ac:dyDescent="0.25">
      <c r="A111" s="44">
        <v>2</v>
      </c>
      <c r="B111" s="45">
        <v>4</v>
      </c>
      <c r="C111" s="82">
        <v>1</v>
      </c>
      <c r="D111" s="45">
        <v>2</v>
      </c>
      <c r="E111" s="46" t="s">
        <v>47</v>
      </c>
      <c r="F111" s="58" t="s">
        <v>134</v>
      </c>
      <c r="G111" s="35">
        <v>3000000</v>
      </c>
      <c r="H111" s="36">
        <f>3000000+6000000</f>
        <v>9000000</v>
      </c>
      <c r="I111" s="37">
        <f t="shared" si="9"/>
        <v>12000000</v>
      </c>
      <c r="J111" s="48">
        <v>278500</v>
      </c>
      <c r="K111" s="48">
        <v>396000</v>
      </c>
      <c r="L111" s="48">
        <v>2680690</v>
      </c>
      <c r="M111" s="48">
        <v>30000</v>
      </c>
      <c r="N111" s="48">
        <v>1604000</v>
      </c>
      <c r="O111" s="48">
        <v>580000</v>
      </c>
      <c r="P111" s="48">
        <v>1560000</v>
      </c>
      <c r="Q111" s="48">
        <v>359301</v>
      </c>
      <c r="R111" s="48"/>
      <c r="S111" s="48"/>
      <c r="T111" s="50"/>
      <c r="U111" s="48"/>
      <c r="V111" s="54">
        <f t="shared" si="7"/>
        <v>7488491</v>
      </c>
    </row>
    <row r="112" spans="1:23" s="43" customFormat="1" ht="23.25" customHeight="1" x14ac:dyDescent="0.25">
      <c r="A112" s="44">
        <v>2</v>
      </c>
      <c r="B112" s="45">
        <v>4</v>
      </c>
      <c r="C112" s="82">
        <v>1</v>
      </c>
      <c r="D112" s="45">
        <v>3</v>
      </c>
      <c r="E112" s="46" t="s">
        <v>26</v>
      </c>
      <c r="F112" s="58" t="s">
        <v>135</v>
      </c>
      <c r="G112" s="35">
        <v>0</v>
      </c>
      <c r="H112" s="36">
        <v>200000</v>
      </c>
      <c r="I112" s="37">
        <f t="shared" si="9"/>
        <v>200000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/>
      <c r="S112" s="48"/>
      <c r="T112" s="50"/>
      <c r="U112" s="48"/>
      <c r="V112" s="54">
        <f t="shared" si="7"/>
        <v>0</v>
      </c>
    </row>
    <row r="113" spans="1:23" s="43" customFormat="1" ht="21.75" customHeight="1" x14ac:dyDescent="0.25">
      <c r="A113" s="44">
        <v>2</v>
      </c>
      <c r="B113" s="45">
        <v>4</v>
      </c>
      <c r="C113" s="82">
        <v>1</v>
      </c>
      <c r="D113" s="45">
        <v>4</v>
      </c>
      <c r="E113" s="46" t="s">
        <v>26</v>
      </c>
      <c r="F113" s="58" t="s">
        <v>136</v>
      </c>
      <c r="G113" s="35">
        <v>4800000</v>
      </c>
      <c r="H113" s="36">
        <v>-2000000</v>
      </c>
      <c r="I113" s="37">
        <f t="shared" si="9"/>
        <v>2800000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/>
      <c r="S113" s="48"/>
      <c r="T113" s="50"/>
      <c r="U113" s="48"/>
      <c r="V113" s="54">
        <f t="shared" si="7"/>
        <v>0</v>
      </c>
    </row>
    <row r="114" spans="1:23" s="43" customFormat="1" ht="19.5" customHeight="1" x14ac:dyDescent="0.25">
      <c r="A114" s="44">
        <v>2</v>
      </c>
      <c r="B114" s="45">
        <v>4</v>
      </c>
      <c r="C114" s="82">
        <v>1</v>
      </c>
      <c r="D114" s="45">
        <v>4</v>
      </c>
      <c r="E114" s="46" t="s">
        <v>47</v>
      </c>
      <c r="F114" s="58" t="s">
        <v>137</v>
      </c>
      <c r="G114" s="35">
        <v>8000000</v>
      </c>
      <c r="H114" s="36">
        <v>-4000000</v>
      </c>
      <c r="I114" s="37">
        <f t="shared" si="9"/>
        <v>4000000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/>
      <c r="S114" s="48"/>
      <c r="T114" s="50"/>
      <c r="U114" s="48"/>
      <c r="V114" s="54">
        <f t="shared" si="7"/>
        <v>0</v>
      </c>
    </row>
    <row r="115" spans="1:23" s="43" customFormat="1" ht="23.25" hidden="1" customHeight="1" x14ac:dyDescent="0.25">
      <c r="A115" s="44">
        <v>2</v>
      </c>
      <c r="B115" s="45">
        <v>4</v>
      </c>
      <c r="C115" s="82">
        <v>1</v>
      </c>
      <c r="D115" s="45">
        <v>5</v>
      </c>
      <c r="E115" s="46" t="s">
        <v>26</v>
      </c>
      <c r="F115" s="58" t="s">
        <v>138</v>
      </c>
      <c r="G115" s="85">
        <v>0</v>
      </c>
      <c r="H115" s="85">
        <v>0</v>
      </c>
      <c r="I115" s="37">
        <f t="shared" si="9"/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/>
      <c r="S115" s="48"/>
      <c r="T115" s="50"/>
      <c r="U115" s="48"/>
      <c r="V115" s="54">
        <f t="shared" si="7"/>
        <v>0</v>
      </c>
    </row>
    <row r="116" spans="1:23" s="43" customFormat="1" ht="21.75" customHeight="1" x14ac:dyDescent="0.25">
      <c r="A116" s="44">
        <v>2</v>
      </c>
      <c r="B116" s="45">
        <v>4</v>
      </c>
      <c r="C116" s="82">
        <v>1</v>
      </c>
      <c r="D116" s="45">
        <v>6</v>
      </c>
      <c r="E116" s="46" t="s">
        <v>26</v>
      </c>
      <c r="F116" s="58" t="s">
        <v>139</v>
      </c>
      <c r="G116" s="35">
        <v>220000000</v>
      </c>
      <c r="H116" s="36">
        <v>98500000</v>
      </c>
      <c r="I116" s="37">
        <f t="shared" si="9"/>
        <v>318500000</v>
      </c>
      <c r="J116" s="48">
        <v>600000</v>
      </c>
      <c r="K116" s="48">
        <v>45839954</v>
      </c>
      <c r="L116" s="48">
        <v>18465904.16</v>
      </c>
      <c r="M116" s="48">
        <f>48495613.5-400000</f>
        <v>48095613.5</v>
      </c>
      <c r="N116" s="48">
        <v>29257498</v>
      </c>
      <c r="O116" s="48">
        <v>42144226</v>
      </c>
      <c r="P116" s="48">
        <v>27360664.050000001</v>
      </c>
      <c r="Q116" s="48">
        <v>30834139.66</v>
      </c>
      <c r="R116" s="48"/>
      <c r="S116" s="48"/>
      <c r="T116" s="50"/>
      <c r="U116" s="48"/>
      <c r="V116" s="54">
        <f t="shared" si="7"/>
        <v>242597999.37</v>
      </c>
      <c r="W116" s="42"/>
    </row>
    <row r="117" spans="1:23" s="43" customFormat="1" ht="23.25" hidden="1" customHeight="1" x14ac:dyDescent="0.25">
      <c r="A117" s="44">
        <v>2</v>
      </c>
      <c r="B117" s="45">
        <v>4</v>
      </c>
      <c r="C117" s="82">
        <v>2</v>
      </c>
      <c r="D117" s="45">
        <v>3</v>
      </c>
      <c r="E117" s="46" t="s">
        <v>47</v>
      </c>
      <c r="F117" s="58" t="s">
        <v>140</v>
      </c>
      <c r="G117" s="85">
        <v>0</v>
      </c>
      <c r="H117" s="85">
        <v>0</v>
      </c>
      <c r="I117" s="37">
        <f t="shared" si="9"/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/>
      <c r="S117" s="48"/>
      <c r="T117" s="50"/>
      <c r="U117" s="48"/>
      <c r="V117" s="54">
        <f t="shared" si="7"/>
        <v>0</v>
      </c>
    </row>
    <row r="118" spans="1:23" s="43" customFormat="1" ht="19.5" customHeight="1" x14ac:dyDescent="0.25">
      <c r="A118" s="44">
        <v>2</v>
      </c>
      <c r="B118" s="45">
        <v>4</v>
      </c>
      <c r="C118" s="82">
        <v>3</v>
      </c>
      <c r="D118" s="45">
        <v>1</v>
      </c>
      <c r="E118" s="46" t="s">
        <v>26</v>
      </c>
      <c r="F118" s="58" t="s">
        <v>141</v>
      </c>
      <c r="G118" s="35">
        <v>30000000</v>
      </c>
      <c r="H118" s="36">
        <v>120000000</v>
      </c>
      <c r="I118" s="37">
        <f t="shared" si="9"/>
        <v>150000000</v>
      </c>
      <c r="J118" s="48">
        <v>81290125</v>
      </c>
      <c r="K118" s="48">
        <v>9534598</v>
      </c>
      <c r="L118" s="48">
        <f>315987+225000-1903220</f>
        <v>-1362233</v>
      </c>
      <c r="M118" s="48">
        <v>350000</v>
      </c>
      <c r="N118" s="48">
        <v>0</v>
      </c>
      <c r="O118" s="48">
        <v>695000</v>
      </c>
      <c r="P118" s="48">
        <f>10271152.74+75385.39</f>
        <v>10346538.130000001</v>
      </c>
      <c r="Q118" s="48">
        <v>9502644.1500000004</v>
      </c>
      <c r="R118" s="48"/>
      <c r="S118" s="48"/>
      <c r="T118" s="50"/>
      <c r="U118" s="48"/>
      <c r="V118" s="54">
        <f t="shared" si="7"/>
        <v>110356672.28</v>
      </c>
      <c r="W118" s="42"/>
    </row>
    <row r="119" spans="1:23" s="43" customFormat="1" ht="19.5" customHeight="1" x14ac:dyDescent="0.25">
      <c r="A119" s="44">
        <v>2</v>
      </c>
      <c r="B119" s="45">
        <v>4</v>
      </c>
      <c r="C119" s="82">
        <v>3</v>
      </c>
      <c r="D119" s="45">
        <v>1</v>
      </c>
      <c r="E119" s="46" t="s">
        <v>47</v>
      </c>
      <c r="F119" s="58" t="s">
        <v>142</v>
      </c>
      <c r="G119" s="35">
        <v>8000000</v>
      </c>
      <c r="H119" s="36">
        <v>0</v>
      </c>
      <c r="I119" s="37">
        <f t="shared" si="9"/>
        <v>8000000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/>
      <c r="S119" s="48"/>
      <c r="T119" s="50"/>
      <c r="U119" s="48"/>
      <c r="V119" s="54">
        <f>SUM(J119:U119)</f>
        <v>0</v>
      </c>
      <c r="W119" s="42"/>
    </row>
    <row r="120" spans="1:23" s="43" customFormat="1" ht="5.25" customHeight="1" x14ac:dyDescent="0.25">
      <c r="A120" s="112"/>
      <c r="B120" s="113"/>
      <c r="C120" s="113"/>
      <c r="D120" s="113"/>
      <c r="E120" s="114"/>
      <c r="F120" s="93"/>
      <c r="G120" s="115"/>
      <c r="H120" s="115"/>
      <c r="I120" s="9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16"/>
      <c r="U120" s="53"/>
      <c r="V120" s="117"/>
    </row>
    <row r="121" spans="1:23" s="43" customFormat="1" ht="24" customHeight="1" x14ac:dyDescent="0.25">
      <c r="A121" s="118"/>
      <c r="B121" s="119"/>
      <c r="C121" s="119"/>
      <c r="D121" s="119"/>
      <c r="E121" s="120"/>
      <c r="F121" s="121" t="s">
        <v>143</v>
      </c>
      <c r="G121" s="122">
        <f>SUM(G122:G123)</f>
        <v>123000000</v>
      </c>
      <c r="H121" s="122">
        <f>SUM(H122:H123)</f>
        <v>4145000000</v>
      </c>
      <c r="I121" s="122">
        <f>SUM(I122:I123)</f>
        <v>4268000000</v>
      </c>
      <c r="J121" s="122">
        <f>SUM(J122:J123)</f>
        <v>31016264.739999998</v>
      </c>
      <c r="K121" s="122">
        <f t="shared" ref="K121:U121" si="10">SUM(K122:K123)</f>
        <v>850360042.71000004</v>
      </c>
      <c r="L121" s="122">
        <f t="shared" si="10"/>
        <v>564700647.42999995</v>
      </c>
      <c r="M121" s="122">
        <f t="shared" si="10"/>
        <v>78476774.159999996</v>
      </c>
      <c r="N121" s="122">
        <f t="shared" si="10"/>
        <v>37118449.920000002</v>
      </c>
      <c r="O121" s="122">
        <f t="shared" si="10"/>
        <v>86842196.879999995</v>
      </c>
      <c r="P121" s="122">
        <f t="shared" si="10"/>
        <v>302823398.88999999</v>
      </c>
      <c r="Q121" s="122">
        <f t="shared" si="10"/>
        <v>170606558.99000001</v>
      </c>
      <c r="R121" s="122">
        <f t="shared" si="10"/>
        <v>0</v>
      </c>
      <c r="S121" s="122">
        <f t="shared" si="10"/>
        <v>0</v>
      </c>
      <c r="T121" s="123">
        <f t="shared" si="10"/>
        <v>0</v>
      </c>
      <c r="U121" s="122">
        <f t="shared" si="10"/>
        <v>0</v>
      </c>
      <c r="V121" s="124">
        <f t="shared" si="7"/>
        <v>2121944333.72</v>
      </c>
      <c r="W121" s="103"/>
    </row>
    <row r="122" spans="1:23" s="43" customFormat="1" ht="21.75" customHeight="1" x14ac:dyDescent="0.25">
      <c r="A122" s="44">
        <v>2</v>
      </c>
      <c r="B122" s="45">
        <v>5</v>
      </c>
      <c r="C122" s="45">
        <v>3</v>
      </c>
      <c r="D122" s="45">
        <v>1</v>
      </c>
      <c r="E122" s="46" t="s">
        <v>26</v>
      </c>
      <c r="F122" s="58" t="s">
        <v>144</v>
      </c>
      <c r="G122" s="35">
        <f>35000000+88000000</f>
        <v>123000000</v>
      </c>
      <c r="H122" s="36">
        <f>3345000000+800000000</f>
        <v>4145000000</v>
      </c>
      <c r="I122" s="37">
        <f>SUM(G122:H122)</f>
        <v>4268000000</v>
      </c>
      <c r="J122" s="48">
        <v>31016264.739999998</v>
      </c>
      <c r="K122" s="48">
        <v>850360042.71000004</v>
      </c>
      <c r="L122" s="48">
        <v>564700647.42999995</v>
      </c>
      <c r="M122" s="48">
        <v>78476774.159999996</v>
      </c>
      <c r="N122" s="48">
        <v>37118449.920000002</v>
      </c>
      <c r="O122" s="48">
        <v>86842196.879999995</v>
      </c>
      <c r="P122" s="48">
        <v>302823398.88999999</v>
      </c>
      <c r="Q122" s="48">
        <f>172791958.13-2185399.14</f>
        <v>170606558.99000001</v>
      </c>
      <c r="R122" s="48"/>
      <c r="S122" s="48"/>
      <c r="T122" s="50"/>
      <c r="U122" s="48"/>
      <c r="V122" s="54">
        <f t="shared" si="7"/>
        <v>2121944333.72</v>
      </c>
      <c r="W122" s="42"/>
    </row>
    <row r="123" spans="1:23" s="43" customFormat="1" ht="25.5" hidden="1" customHeight="1" x14ac:dyDescent="0.25">
      <c r="A123" s="44">
        <v>2</v>
      </c>
      <c r="B123" s="45">
        <v>5</v>
      </c>
      <c r="C123" s="45">
        <v>3</v>
      </c>
      <c r="D123" s="45">
        <v>1</v>
      </c>
      <c r="E123" s="46" t="s">
        <v>47</v>
      </c>
      <c r="F123" s="58" t="s">
        <v>145</v>
      </c>
      <c r="G123" s="35">
        <v>0</v>
      </c>
      <c r="H123" s="36">
        <v>0</v>
      </c>
      <c r="I123" s="37">
        <f>SUM(G123:H123)</f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/>
      <c r="S123" s="48"/>
      <c r="T123" s="50"/>
      <c r="U123" s="48"/>
      <c r="V123" s="54">
        <f>SUM(J123:U123)</f>
        <v>0</v>
      </c>
      <c r="W123" s="42"/>
    </row>
    <row r="124" spans="1:23" s="43" customFormat="1" ht="8.25" customHeight="1" x14ac:dyDescent="0.25">
      <c r="A124" s="44"/>
      <c r="B124" s="45"/>
      <c r="C124" s="45"/>
      <c r="D124" s="45"/>
      <c r="E124" s="46"/>
      <c r="F124" s="58"/>
      <c r="G124" s="58"/>
      <c r="H124" s="58"/>
      <c r="I124" s="5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50"/>
      <c r="U124" s="48"/>
      <c r="V124" s="54"/>
      <c r="W124" s="42"/>
    </row>
    <row r="125" spans="1:23" s="43" customFormat="1" ht="24" customHeight="1" x14ac:dyDescent="0.25">
      <c r="A125" s="118"/>
      <c r="B125" s="119"/>
      <c r="C125" s="119"/>
      <c r="D125" s="119"/>
      <c r="E125" s="120"/>
      <c r="F125" s="121" t="s">
        <v>146</v>
      </c>
      <c r="G125" s="125">
        <f>SUM(G126:G144)</f>
        <v>49000000</v>
      </c>
      <c r="H125" s="125">
        <f>SUM(H126:H144)</f>
        <v>72952537.719999999</v>
      </c>
      <c r="I125" s="125">
        <f>SUM(I126:I144)</f>
        <v>121952537.72</v>
      </c>
      <c r="J125" s="125">
        <f>SUM(J126:J144)</f>
        <v>712697.23</v>
      </c>
      <c r="K125" s="125">
        <f t="shared" ref="K125:V125" si="11">SUM(K126:K144)</f>
        <v>8780699.5600000005</v>
      </c>
      <c r="L125" s="125">
        <f t="shared" si="11"/>
        <v>1821894.79</v>
      </c>
      <c r="M125" s="125">
        <f t="shared" si="11"/>
        <v>1130464.69</v>
      </c>
      <c r="N125" s="125">
        <f t="shared" si="11"/>
        <v>18939088.27</v>
      </c>
      <c r="O125" s="125">
        <f t="shared" si="11"/>
        <v>741119.93</v>
      </c>
      <c r="P125" s="125">
        <f t="shared" si="11"/>
        <v>347641.09</v>
      </c>
      <c r="Q125" s="125">
        <f>SUM(Q126:Q144)</f>
        <v>3311486</v>
      </c>
      <c r="R125" s="125">
        <f>SUM(R126:R144)</f>
        <v>0</v>
      </c>
      <c r="S125" s="125">
        <f t="shared" si="11"/>
        <v>0</v>
      </c>
      <c r="T125" s="125">
        <f t="shared" si="11"/>
        <v>0</v>
      </c>
      <c r="U125" s="125">
        <f t="shared" si="11"/>
        <v>0</v>
      </c>
      <c r="V125" s="126">
        <f t="shared" si="11"/>
        <v>35785091.560000002</v>
      </c>
    </row>
    <row r="126" spans="1:23" s="43" customFormat="1" ht="21.75" customHeight="1" x14ac:dyDescent="0.25">
      <c r="A126" s="44">
        <v>2</v>
      </c>
      <c r="B126" s="45">
        <v>6</v>
      </c>
      <c r="C126" s="45">
        <v>1</v>
      </c>
      <c r="D126" s="45">
        <v>1</v>
      </c>
      <c r="E126" s="46" t="s">
        <v>26</v>
      </c>
      <c r="F126" s="58" t="s">
        <v>147</v>
      </c>
      <c r="G126" s="85">
        <v>0</v>
      </c>
      <c r="H126" s="85">
        <v>0</v>
      </c>
      <c r="I126" s="37">
        <f t="shared" ref="I126:I144" si="12">SUM(G126:H126)</f>
        <v>0</v>
      </c>
      <c r="J126" s="48">
        <v>704153.2</v>
      </c>
      <c r="K126" s="48">
        <v>179000</v>
      </c>
      <c r="L126" s="48">
        <f>477666.66+15658</f>
        <v>493324.66</v>
      </c>
      <c r="M126" s="48">
        <f>238833.33+66859.98</f>
        <v>305693.31</v>
      </c>
      <c r="N126" s="48">
        <f>29500+118330</f>
        <v>147830</v>
      </c>
      <c r="O126" s="48">
        <v>0</v>
      </c>
      <c r="P126" s="48">
        <v>0</v>
      </c>
      <c r="Q126" s="48">
        <v>3281986</v>
      </c>
      <c r="R126" s="48"/>
      <c r="S126" s="48"/>
      <c r="T126" s="50"/>
      <c r="U126" s="48"/>
      <c r="V126" s="54">
        <f t="shared" si="7"/>
        <v>5111987.17</v>
      </c>
      <c r="W126" s="42"/>
    </row>
    <row r="127" spans="1:23" s="43" customFormat="1" ht="21.75" customHeight="1" x14ac:dyDescent="0.25">
      <c r="A127" s="44">
        <v>2</v>
      </c>
      <c r="B127" s="45">
        <v>6</v>
      </c>
      <c r="C127" s="45">
        <v>1</v>
      </c>
      <c r="D127" s="45">
        <v>2</v>
      </c>
      <c r="E127" s="46" t="s">
        <v>26</v>
      </c>
      <c r="F127" s="58" t="s">
        <v>148</v>
      </c>
      <c r="G127" s="35">
        <v>1500000</v>
      </c>
      <c r="H127" s="36">
        <v>4000000</v>
      </c>
      <c r="I127" s="37">
        <f t="shared" si="12"/>
        <v>5500000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/>
      <c r="S127" s="48"/>
      <c r="T127" s="50"/>
      <c r="U127" s="48"/>
      <c r="V127" s="54">
        <f t="shared" si="7"/>
        <v>0</v>
      </c>
    </row>
    <row r="128" spans="1:23" s="43" customFormat="1" ht="21.75" customHeight="1" x14ac:dyDescent="0.25">
      <c r="A128" s="44">
        <v>2</v>
      </c>
      <c r="B128" s="45">
        <v>6</v>
      </c>
      <c r="C128" s="45">
        <v>1</v>
      </c>
      <c r="D128" s="45">
        <v>3</v>
      </c>
      <c r="E128" s="46" t="s">
        <v>26</v>
      </c>
      <c r="F128" s="58" t="s">
        <v>149</v>
      </c>
      <c r="G128" s="35">
        <v>3000000</v>
      </c>
      <c r="H128" s="36">
        <v>2000000</v>
      </c>
      <c r="I128" s="37">
        <f t="shared" si="12"/>
        <v>5000000</v>
      </c>
      <c r="J128" s="48">
        <v>0</v>
      </c>
      <c r="K128" s="48">
        <f>63720+1283309.56</f>
        <v>1347029.56</v>
      </c>
      <c r="L128" s="48">
        <v>0</v>
      </c>
      <c r="M128" s="48">
        <v>297626.68</v>
      </c>
      <c r="N128" s="48">
        <v>49313.21</v>
      </c>
      <c r="O128" s="48">
        <v>108772.4</v>
      </c>
      <c r="P128" s="48">
        <v>347641.09</v>
      </c>
      <c r="Q128" s="48">
        <v>0</v>
      </c>
      <c r="R128" s="48"/>
      <c r="S128" s="48"/>
      <c r="T128" s="50"/>
      <c r="U128" s="48"/>
      <c r="V128" s="54">
        <f t="shared" si="7"/>
        <v>2150382.94</v>
      </c>
      <c r="W128" s="42"/>
    </row>
    <row r="129" spans="1:23" s="43" customFormat="1" ht="21.75" customHeight="1" x14ac:dyDescent="0.25">
      <c r="A129" s="44">
        <v>2</v>
      </c>
      <c r="B129" s="45">
        <v>6</v>
      </c>
      <c r="C129" s="45">
        <v>1</v>
      </c>
      <c r="D129" s="45">
        <v>4</v>
      </c>
      <c r="E129" s="46" t="s">
        <v>26</v>
      </c>
      <c r="F129" s="58" t="s">
        <v>150</v>
      </c>
      <c r="G129" s="35">
        <v>1500000</v>
      </c>
      <c r="H129" s="36">
        <v>0</v>
      </c>
      <c r="I129" s="37">
        <f t="shared" si="12"/>
        <v>1500000</v>
      </c>
      <c r="J129" s="48">
        <v>0</v>
      </c>
      <c r="K129" s="48">
        <v>0</v>
      </c>
      <c r="L129" s="48">
        <v>16570.13</v>
      </c>
      <c r="M129" s="48">
        <v>0</v>
      </c>
      <c r="N129" s="48">
        <v>0</v>
      </c>
      <c r="O129" s="48">
        <v>0</v>
      </c>
      <c r="P129" s="48">
        <v>0</v>
      </c>
      <c r="Q129" s="48">
        <v>29500</v>
      </c>
      <c r="R129" s="48"/>
      <c r="S129" s="48"/>
      <c r="T129" s="50"/>
      <c r="U129" s="48"/>
      <c r="V129" s="54">
        <f t="shared" si="7"/>
        <v>46070.130000000005</v>
      </c>
      <c r="W129" s="42"/>
    </row>
    <row r="130" spans="1:23" s="43" customFormat="1" ht="21.75" hidden="1" customHeight="1" x14ac:dyDescent="0.25">
      <c r="A130" s="44">
        <v>2</v>
      </c>
      <c r="B130" s="45">
        <v>6</v>
      </c>
      <c r="C130" s="45">
        <v>1</v>
      </c>
      <c r="D130" s="45">
        <v>9</v>
      </c>
      <c r="E130" s="46" t="s">
        <v>26</v>
      </c>
      <c r="F130" s="58" t="s">
        <v>151</v>
      </c>
      <c r="G130" s="35">
        <v>0</v>
      </c>
      <c r="H130" s="36">
        <v>0</v>
      </c>
      <c r="I130" s="37">
        <f t="shared" si="12"/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/>
      <c r="S130" s="48"/>
      <c r="T130" s="50"/>
      <c r="U130" s="48"/>
      <c r="V130" s="54">
        <f t="shared" si="7"/>
        <v>0</v>
      </c>
    </row>
    <row r="131" spans="1:23" s="43" customFormat="1" ht="21.75" hidden="1" customHeight="1" x14ac:dyDescent="0.25">
      <c r="A131" s="44">
        <v>2</v>
      </c>
      <c r="B131" s="45">
        <v>6</v>
      </c>
      <c r="C131" s="45">
        <v>2</v>
      </c>
      <c r="D131" s="45">
        <v>1</v>
      </c>
      <c r="E131" s="46" t="s">
        <v>26</v>
      </c>
      <c r="F131" s="58" t="s">
        <v>152</v>
      </c>
      <c r="G131" s="35">
        <v>0</v>
      </c>
      <c r="H131" s="36">
        <v>0</v>
      </c>
      <c r="I131" s="37">
        <f t="shared" si="12"/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/>
      <c r="S131" s="48"/>
      <c r="T131" s="50"/>
      <c r="U131" s="48"/>
      <c r="V131" s="54">
        <f t="shared" si="7"/>
        <v>0</v>
      </c>
    </row>
    <row r="132" spans="1:23" s="43" customFormat="1" ht="21.75" hidden="1" customHeight="1" x14ac:dyDescent="0.25">
      <c r="A132" s="44">
        <v>2</v>
      </c>
      <c r="B132" s="45">
        <v>6</v>
      </c>
      <c r="C132" s="45">
        <v>3</v>
      </c>
      <c r="D132" s="45">
        <v>1</v>
      </c>
      <c r="E132" s="46" t="s">
        <v>26</v>
      </c>
      <c r="F132" s="58" t="s">
        <v>153</v>
      </c>
      <c r="G132" s="35">
        <v>0</v>
      </c>
      <c r="H132" s="36">
        <v>0</v>
      </c>
      <c r="I132" s="37">
        <f t="shared" si="12"/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/>
      <c r="S132" s="48"/>
      <c r="T132" s="50"/>
      <c r="U132" s="48"/>
      <c r="V132" s="54">
        <f t="shared" si="7"/>
        <v>0</v>
      </c>
    </row>
    <row r="133" spans="1:23" s="43" customFormat="1" ht="21.75" customHeight="1" x14ac:dyDescent="0.25">
      <c r="A133" s="44">
        <v>2</v>
      </c>
      <c r="B133" s="45">
        <v>6</v>
      </c>
      <c r="C133" s="45">
        <v>4</v>
      </c>
      <c r="D133" s="45">
        <v>1</v>
      </c>
      <c r="E133" s="46" t="s">
        <v>26</v>
      </c>
      <c r="F133" s="58" t="s">
        <v>154</v>
      </c>
      <c r="G133" s="35">
        <v>30000000</v>
      </c>
      <c r="H133" s="36">
        <v>9319341.4800000004</v>
      </c>
      <c r="I133" s="37">
        <f t="shared" si="12"/>
        <v>39319341.480000004</v>
      </c>
      <c r="J133" s="87">
        <v>0</v>
      </c>
      <c r="K133" s="87">
        <v>6434670</v>
      </c>
      <c r="L133" s="87">
        <v>0</v>
      </c>
      <c r="M133" s="87">
        <v>0</v>
      </c>
      <c r="N133" s="48">
        <f>3661250+13160000</f>
        <v>16821250</v>
      </c>
      <c r="O133" s="87">
        <v>0</v>
      </c>
      <c r="P133" s="48">
        <v>0</v>
      </c>
      <c r="Q133" s="48">
        <v>0</v>
      </c>
      <c r="R133" s="48"/>
      <c r="S133" s="48"/>
      <c r="T133" s="50"/>
      <c r="U133" s="48"/>
      <c r="V133" s="54">
        <f t="shared" si="7"/>
        <v>23255920</v>
      </c>
      <c r="W133" s="42"/>
    </row>
    <row r="134" spans="1:23" s="43" customFormat="1" ht="21.75" hidden="1" customHeight="1" x14ac:dyDescent="0.25">
      <c r="A134" s="44">
        <v>2</v>
      </c>
      <c r="B134" s="45">
        <v>6</v>
      </c>
      <c r="C134" s="45">
        <v>4</v>
      </c>
      <c r="D134" s="45">
        <v>6</v>
      </c>
      <c r="E134" s="46" t="s">
        <v>26</v>
      </c>
      <c r="F134" s="58" t="s">
        <v>155</v>
      </c>
      <c r="G134" s="35">
        <v>0</v>
      </c>
      <c r="H134" s="36">
        <v>0</v>
      </c>
      <c r="I134" s="37">
        <f t="shared" si="12"/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48"/>
      <c r="S134" s="48"/>
      <c r="T134" s="50"/>
      <c r="U134" s="48"/>
      <c r="V134" s="54">
        <f t="shared" si="7"/>
        <v>0</v>
      </c>
    </row>
    <row r="135" spans="1:23" s="43" customFormat="1" ht="21.75" customHeight="1" x14ac:dyDescent="0.25">
      <c r="A135" s="44">
        <v>2</v>
      </c>
      <c r="B135" s="45">
        <v>6</v>
      </c>
      <c r="C135" s="45">
        <v>4</v>
      </c>
      <c r="D135" s="45">
        <v>7</v>
      </c>
      <c r="E135" s="46" t="s">
        <v>26</v>
      </c>
      <c r="F135" s="58" t="s">
        <v>156</v>
      </c>
      <c r="G135" s="35">
        <v>0</v>
      </c>
      <c r="H135" s="36">
        <v>5000000</v>
      </c>
      <c r="I135" s="37">
        <f t="shared" si="12"/>
        <v>5000000</v>
      </c>
      <c r="J135" s="87">
        <v>0</v>
      </c>
      <c r="K135" s="87">
        <v>820000</v>
      </c>
      <c r="L135" s="87">
        <v>1312000</v>
      </c>
      <c r="M135" s="87">
        <v>0</v>
      </c>
      <c r="N135" s="87">
        <v>656000</v>
      </c>
      <c r="O135" s="48">
        <v>0</v>
      </c>
      <c r="P135" s="48">
        <v>0</v>
      </c>
      <c r="Q135" s="48">
        <v>0</v>
      </c>
      <c r="R135" s="48"/>
      <c r="S135" s="48"/>
      <c r="T135" s="50"/>
      <c r="U135" s="48"/>
      <c r="V135" s="54">
        <f t="shared" si="7"/>
        <v>2788000</v>
      </c>
    </row>
    <row r="136" spans="1:23" s="43" customFormat="1" ht="21.75" hidden="1" customHeight="1" x14ac:dyDescent="0.25">
      <c r="A136" s="44">
        <v>2</v>
      </c>
      <c r="B136" s="45">
        <v>6</v>
      </c>
      <c r="C136" s="45">
        <v>4</v>
      </c>
      <c r="D136" s="45">
        <v>8</v>
      </c>
      <c r="E136" s="46" t="s">
        <v>26</v>
      </c>
      <c r="F136" s="58" t="s">
        <v>157</v>
      </c>
      <c r="G136" s="85">
        <v>0</v>
      </c>
      <c r="H136" s="85">
        <v>0</v>
      </c>
      <c r="I136" s="37">
        <f t="shared" si="12"/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/>
      <c r="S136" s="48"/>
      <c r="T136" s="50"/>
      <c r="U136" s="48"/>
      <c r="V136" s="54">
        <f t="shared" si="7"/>
        <v>0</v>
      </c>
    </row>
    <row r="137" spans="1:23" s="43" customFormat="1" ht="21.75" customHeight="1" x14ac:dyDescent="0.25">
      <c r="A137" s="44">
        <v>2</v>
      </c>
      <c r="B137" s="45">
        <v>6</v>
      </c>
      <c r="C137" s="45">
        <v>5</v>
      </c>
      <c r="D137" s="45">
        <v>2</v>
      </c>
      <c r="E137" s="46" t="s">
        <v>26</v>
      </c>
      <c r="F137" s="58" t="s">
        <v>158</v>
      </c>
      <c r="G137" s="35">
        <v>0</v>
      </c>
      <c r="H137" s="36">
        <v>133196.24</v>
      </c>
      <c r="I137" s="37">
        <f t="shared" si="12"/>
        <v>133196.24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/>
      <c r="S137" s="48"/>
      <c r="T137" s="50"/>
      <c r="U137" s="48"/>
      <c r="V137" s="54">
        <f t="shared" si="7"/>
        <v>0</v>
      </c>
    </row>
    <row r="138" spans="1:23" s="43" customFormat="1" ht="21.75" customHeight="1" x14ac:dyDescent="0.25">
      <c r="A138" s="44">
        <v>2</v>
      </c>
      <c r="B138" s="45">
        <v>6</v>
      </c>
      <c r="C138" s="45">
        <v>5</v>
      </c>
      <c r="D138" s="45">
        <v>5</v>
      </c>
      <c r="E138" s="46" t="s">
        <v>26</v>
      </c>
      <c r="F138" s="58" t="s">
        <v>159</v>
      </c>
      <c r="G138" s="35">
        <v>6000000</v>
      </c>
      <c r="H138" s="36">
        <v>0</v>
      </c>
      <c r="I138" s="37">
        <f t="shared" si="12"/>
        <v>6000000</v>
      </c>
      <c r="J138" s="48">
        <v>0</v>
      </c>
      <c r="K138" s="48">
        <v>0</v>
      </c>
      <c r="L138" s="48">
        <v>0</v>
      </c>
      <c r="M138" s="48">
        <v>474260.64</v>
      </c>
      <c r="N138" s="48">
        <v>1264695.06</v>
      </c>
      <c r="O138" s="48">
        <v>632347.53</v>
      </c>
      <c r="P138" s="48">
        <v>0</v>
      </c>
      <c r="Q138" s="48">
        <v>0</v>
      </c>
      <c r="R138" s="48"/>
      <c r="S138" s="48"/>
      <c r="T138" s="50"/>
      <c r="U138" s="48"/>
      <c r="V138" s="54">
        <f t="shared" si="7"/>
        <v>2371303.2300000004</v>
      </c>
    </row>
    <row r="139" spans="1:23" s="43" customFormat="1" ht="21.75" customHeight="1" x14ac:dyDescent="0.25">
      <c r="A139" s="44">
        <v>2</v>
      </c>
      <c r="B139" s="45">
        <v>6</v>
      </c>
      <c r="C139" s="45">
        <v>5</v>
      </c>
      <c r="D139" s="45">
        <v>7</v>
      </c>
      <c r="E139" s="46" t="s">
        <v>26</v>
      </c>
      <c r="F139" s="58" t="s">
        <v>160</v>
      </c>
      <c r="G139" s="35">
        <v>3500000</v>
      </c>
      <c r="H139" s="36">
        <v>0</v>
      </c>
      <c r="I139" s="37">
        <f t="shared" si="12"/>
        <v>3500000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/>
      <c r="S139" s="48"/>
      <c r="T139" s="50"/>
      <c r="U139" s="48"/>
      <c r="V139" s="54">
        <f t="shared" si="7"/>
        <v>0</v>
      </c>
    </row>
    <row r="140" spans="1:23" s="43" customFormat="1" ht="21.75" customHeight="1" x14ac:dyDescent="0.25">
      <c r="A140" s="44">
        <v>2</v>
      </c>
      <c r="B140" s="45">
        <v>6</v>
      </c>
      <c r="C140" s="45">
        <v>5</v>
      </c>
      <c r="D140" s="45">
        <v>8</v>
      </c>
      <c r="E140" s="46" t="s">
        <v>26</v>
      </c>
      <c r="F140" s="58" t="s">
        <v>161</v>
      </c>
      <c r="G140" s="35">
        <v>3500000</v>
      </c>
      <c r="H140" s="36">
        <v>47000000</v>
      </c>
      <c r="I140" s="37">
        <f t="shared" si="12"/>
        <v>50500000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/>
      <c r="S140" s="48"/>
      <c r="T140" s="50"/>
      <c r="U140" s="48"/>
      <c r="V140" s="54">
        <f t="shared" si="7"/>
        <v>0</v>
      </c>
      <c r="W140" s="42"/>
    </row>
    <row r="141" spans="1:23" s="43" customFormat="1" ht="21.75" customHeight="1" x14ac:dyDescent="0.25">
      <c r="A141" s="44">
        <v>2</v>
      </c>
      <c r="B141" s="45">
        <v>6</v>
      </c>
      <c r="C141" s="45">
        <v>6</v>
      </c>
      <c r="D141" s="45">
        <v>2</v>
      </c>
      <c r="E141" s="46" t="s">
        <v>26</v>
      </c>
      <c r="F141" s="58" t="s">
        <v>162</v>
      </c>
      <c r="G141" s="35">
        <v>0</v>
      </c>
      <c r="H141" s="36">
        <v>500000</v>
      </c>
      <c r="I141" s="37">
        <f t="shared" si="12"/>
        <v>500000</v>
      </c>
      <c r="J141" s="48">
        <v>0</v>
      </c>
      <c r="K141" s="48">
        <v>0</v>
      </c>
      <c r="L141" s="48">
        <v>0</v>
      </c>
      <c r="M141" s="48">
        <v>52884.06</v>
      </c>
      <c r="N141" s="48">
        <v>0</v>
      </c>
      <c r="O141" s="87">
        <v>0</v>
      </c>
      <c r="P141" s="48">
        <v>0</v>
      </c>
      <c r="Q141" s="48">
        <v>0</v>
      </c>
      <c r="R141" s="48"/>
      <c r="S141" s="48"/>
      <c r="T141" s="50"/>
      <c r="U141" s="48"/>
      <c r="V141" s="54">
        <f t="shared" si="7"/>
        <v>52884.06</v>
      </c>
      <c r="W141" s="42"/>
    </row>
    <row r="142" spans="1:23" s="43" customFormat="1" ht="21.75" customHeight="1" x14ac:dyDescent="0.25">
      <c r="A142" s="44">
        <v>2</v>
      </c>
      <c r="B142" s="45">
        <v>6</v>
      </c>
      <c r="C142" s="45">
        <v>8</v>
      </c>
      <c r="D142" s="45">
        <v>3</v>
      </c>
      <c r="E142" s="46" t="s">
        <v>26</v>
      </c>
      <c r="F142" s="58" t="s">
        <v>163</v>
      </c>
      <c r="G142" s="35">
        <v>0</v>
      </c>
      <c r="H142" s="36">
        <v>5000000</v>
      </c>
      <c r="I142" s="37">
        <f t="shared" si="12"/>
        <v>5000000</v>
      </c>
      <c r="J142" s="48">
        <v>8544.0300000000007</v>
      </c>
      <c r="K142" s="48">
        <v>0</v>
      </c>
      <c r="L142" s="48">
        <v>0</v>
      </c>
      <c r="M142" s="48">
        <v>0</v>
      </c>
      <c r="N142" s="48">
        <v>0</v>
      </c>
      <c r="O142" s="87">
        <v>0</v>
      </c>
      <c r="P142" s="48">
        <v>0</v>
      </c>
      <c r="Q142" s="48">
        <v>0</v>
      </c>
      <c r="R142" s="48"/>
      <c r="S142" s="48"/>
      <c r="T142" s="50"/>
      <c r="U142" s="48"/>
      <c r="V142" s="54">
        <f t="shared" si="7"/>
        <v>8544.0300000000007</v>
      </c>
      <c r="W142" s="42"/>
    </row>
    <row r="143" spans="1:23" s="43" customFormat="1" ht="24.75" hidden="1" customHeight="1" x14ac:dyDescent="0.25">
      <c r="A143" s="44">
        <v>2</v>
      </c>
      <c r="B143" s="45">
        <v>6</v>
      </c>
      <c r="C143" s="45">
        <v>8</v>
      </c>
      <c r="D143" s="45">
        <v>6</v>
      </c>
      <c r="E143" s="46" t="s">
        <v>26</v>
      </c>
      <c r="F143" s="58" t="s">
        <v>164</v>
      </c>
      <c r="G143" s="85">
        <v>0</v>
      </c>
      <c r="H143" s="85">
        <v>0</v>
      </c>
      <c r="I143" s="48">
        <f t="shared" si="12"/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/>
      <c r="S143" s="48"/>
      <c r="T143" s="50"/>
      <c r="U143" s="48"/>
      <c r="V143" s="54">
        <f t="shared" si="7"/>
        <v>0</v>
      </c>
      <c r="W143" s="42"/>
    </row>
    <row r="144" spans="1:23" s="43" customFormat="1" ht="24.75" hidden="1" customHeight="1" x14ac:dyDescent="0.25">
      <c r="A144" s="44">
        <v>2</v>
      </c>
      <c r="B144" s="45">
        <v>6</v>
      </c>
      <c r="C144" s="45">
        <v>10</v>
      </c>
      <c r="D144" s="45">
        <v>2</v>
      </c>
      <c r="E144" s="46" t="s">
        <v>26</v>
      </c>
      <c r="F144" s="93" t="s">
        <v>165</v>
      </c>
      <c r="G144" s="105">
        <v>0</v>
      </c>
      <c r="H144" s="105">
        <v>0</v>
      </c>
      <c r="I144" s="53">
        <f t="shared" si="12"/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/>
      <c r="T144" s="50"/>
      <c r="U144" s="48"/>
      <c r="V144" s="54">
        <f t="shared" si="7"/>
        <v>0</v>
      </c>
      <c r="W144" s="42"/>
    </row>
    <row r="145" spans="1:23" s="43" customFormat="1" ht="9" customHeight="1" x14ac:dyDescent="0.25">
      <c r="A145" s="44"/>
      <c r="B145" s="45"/>
      <c r="C145" s="45"/>
      <c r="D145" s="45"/>
      <c r="E145" s="46"/>
      <c r="F145" s="58"/>
      <c r="G145" s="58"/>
      <c r="H145" s="58"/>
      <c r="I145" s="5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50"/>
      <c r="U145" s="48"/>
      <c r="V145" s="54"/>
      <c r="W145" s="42"/>
    </row>
    <row r="146" spans="1:23" s="43" customFormat="1" ht="24.75" customHeight="1" x14ac:dyDescent="0.25">
      <c r="A146" s="118"/>
      <c r="B146" s="119"/>
      <c r="C146" s="119"/>
      <c r="D146" s="119"/>
      <c r="E146" s="120"/>
      <c r="F146" s="121" t="s">
        <v>166</v>
      </c>
      <c r="G146" s="122">
        <f>SUM(G147:G149)</f>
        <v>50000000</v>
      </c>
      <c r="H146" s="122">
        <f>SUM(H147:H149)</f>
        <v>63584386.810000002</v>
      </c>
      <c r="I146" s="122">
        <f>SUM(I147:I149)</f>
        <v>113584386.81</v>
      </c>
      <c r="J146" s="122">
        <f>SUM(J147:J149)</f>
        <v>0</v>
      </c>
      <c r="K146" s="122">
        <f t="shared" ref="K146:Q146" si="13">SUM(K147:K149)</f>
        <v>0</v>
      </c>
      <c r="L146" s="122">
        <f t="shared" si="13"/>
        <v>0</v>
      </c>
      <c r="M146" s="122">
        <f t="shared" si="13"/>
        <v>0</v>
      </c>
      <c r="N146" s="122">
        <f t="shared" si="13"/>
        <v>0</v>
      </c>
      <c r="O146" s="122">
        <f t="shared" si="13"/>
        <v>0</v>
      </c>
      <c r="P146" s="122">
        <f t="shared" si="13"/>
        <v>14097616.609999999</v>
      </c>
      <c r="Q146" s="122">
        <f t="shared" si="13"/>
        <v>118932.48</v>
      </c>
      <c r="R146" s="122">
        <f>SUM(R149)</f>
        <v>0</v>
      </c>
      <c r="S146" s="122">
        <f>SUM(S149)</f>
        <v>0</v>
      </c>
      <c r="T146" s="123">
        <f>SUM(T149)</f>
        <v>0</v>
      </c>
      <c r="U146" s="122">
        <f>SUM(U149)</f>
        <v>0</v>
      </c>
      <c r="V146" s="124">
        <f>SUM(J146:U146)</f>
        <v>14216549.09</v>
      </c>
    </row>
    <row r="147" spans="1:23" ht="20.25" customHeight="1" x14ac:dyDescent="0.3">
      <c r="A147" s="44">
        <v>2</v>
      </c>
      <c r="B147" s="45">
        <v>7</v>
      </c>
      <c r="C147" s="45">
        <v>1</v>
      </c>
      <c r="D147" s="45">
        <v>2</v>
      </c>
      <c r="E147" s="46" t="s">
        <v>26</v>
      </c>
      <c r="F147" s="84" t="s">
        <v>167</v>
      </c>
      <c r="G147" s="56">
        <v>46000000</v>
      </c>
      <c r="H147" s="57">
        <v>39000000</v>
      </c>
      <c r="I147" s="37">
        <f>SUM(G147:H147)</f>
        <v>85000000</v>
      </c>
      <c r="J147" s="127">
        <v>0</v>
      </c>
      <c r="K147" s="128">
        <v>0</v>
      </c>
      <c r="L147" s="128">
        <v>0</v>
      </c>
      <c r="M147" s="128">
        <v>0</v>
      </c>
      <c r="N147" s="48">
        <v>0</v>
      </c>
      <c r="O147" s="128">
        <v>0</v>
      </c>
      <c r="P147" s="48">
        <v>14097616.609999999</v>
      </c>
      <c r="Q147" s="48">
        <v>118932.48</v>
      </c>
      <c r="R147" s="128"/>
      <c r="S147" s="128"/>
      <c r="T147" s="129"/>
      <c r="U147" s="128"/>
      <c r="V147" s="54">
        <f>SUM(J147:U147)</f>
        <v>14216549.09</v>
      </c>
    </row>
    <row r="148" spans="1:23" ht="20.25" customHeight="1" x14ac:dyDescent="0.3">
      <c r="A148" s="44">
        <v>2</v>
      </c>
      <c r="B148" s="45">
        <v>7</v>
      </c>
      <c r="C148" s="45">
        <v>1</v>
      </c>
      <c r="D148" s="45">
        <v>3</v>
      </c>
      <c r="E148" s="46" t="s">
        <v>26</v>
      </c>
      <c r="F148" s="93" t="s">
        <v>168</v>
      </c>
      <c r="G148" s="56"/>
      <c r="H148" s="57">
        <v>24584386.809999999</v>
      </c>
      <c r="I148" s="37">
        <f>SUM(G148:H148)</f>
        <v>24584386.809999999</v>
      </c>
      <c r="J148" s="127">
        <v>0</v>
      </c>
      <c r="K148" s="128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0</v>
      </c>
      <c r="R148" s="128"/>
      <c r="S148" s="128"/>
      <c r="T148" s="129"/>
      <c r="U148" s="128"/>
      <c r="V148" s="54">
        <f>SUM(J148:U148)</f>
        <v>0</v>
      </c>
    </row>
    <row r="149" spans="1:23" s="43" customFormat="1" ht="20.25" customHeight="1" x14ac:dyDescent="0.25">
      <c r="A149" s="44">
        <v>2</v>
      </c>
      <c r="B149" s="45">
        <v>7</v>
      </c>
      <c r="C149" s="45">
        <v>2</v>
      </c>
      <c r="D149" s="45">
        <v>1</v>
      </c>
      <c r="E149" s="46" t="s">
        <v>26</v>
      </c>
      <c r="F149" s="58" t="s">
        <v>169</v>
      </c>
      <c r="G149" s="56">
        <v>4000000</v>
      </c>
      <c r="H149" s="57">
        <v>0</v>
      </c>
      <c r="I149" s="37">
        <f>SUM(G149:H149)</f>
        <v>4000000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/>
      <c r="S149" s="48"/>
      <c r="T149" s="50"/>
      <c r="U149" s="48"/>
      <c r="V149" s="54">
        <f>SUM(J149:U149)</f>
        <v>0</v>
      </c>
      <c r="W149" s="42"/>
    </row>
    <row r="150" spans="1:23" s="43" customFormat="1" ht="10.5" customHeight="1" x14ac:dyDescent="0.25">
      <c r="A150" s="44"/>
      <c r="B150" s="45"/>
      <c r="C150" s="45"/>
      <c r="D150" s="45"/>
      <c r="E150" s="46"/>
      <c r="F150" s="58"/>
      <c r="G150" s="58"/>
      <c r="H150" s="58"/>
      <c r="I150" s="58"/>
      <c r="J150" s="58"/>
      <c r="K150" s="48"/>
      <c r="L150" s="48"/>
      <c r="M150" s="48" t="s">
        <v>170</v>
      </c>
      <c r="N150" s="48"/>
      <c r="O150" s="48"/>
      <c r="P150" s="48"/>
      <c r="Q150" s="48"/>
      <c r="R150" s="48"/>
      <c r="S150" s="48"/>
      <c r="T150" s="50"/>
      <c r="U150" s="48"/>
      <c r="V150" s="54"/>
    </row>
    <row r="151" spans="1:23" s="43" customFormat="1" ht="21" hidden="1" customHeight="1" x14ac:dyDescent="0.25">
      <c r="A151" s="118"/>
      <c r="B151" s="119"/>
      <c r="C151" s="119"/>
      <c r="D151" s="119"/>
      <c r="E151" s="120"/>
      <c r="F151" s="121" t="s">
        <v>171</v>
      </c>
      <c r="G151" s="125">
        <f>SUM(G152:G153)</f>
        <v>0</v>
      </c>
      <c r="H151" s="125">
        <f>SUM(H152:H153)</f>
        <v>0</v>
      </c>
      <c r="I151" s="125">
        <f>SUM(I152:I153)</f>
        <v>0</v>
      </c>
      <c r="J151" s="125">
        <f t="shared" ref="J151:U151" si="14">SUM(J152:J153)</f>
        <v>0</v>
      </c>
      <c r="K151" s="125">
        <f t="shared" si="14"/>
        <v>0</v>
      </c>
      <c r="L151" s="125">
        <f t="shared" si="14"/>
        <v>0</v>
      </c>
      <c r="M151" s="125">
        <f t="shared" si="14"/>
        <v>0</v>
      </c>
      <c r="N151" s="125">
        <f t="shared" si="14"/>
        <v>0</v>
      </c>
      <c r="O151" s="125">
        <f t="shared" si="14"/>
        <v>0</v>
      </c>
      <c r="P151" s="125">
        <f t="shared" si="14"/>
        <v>0</v>
      </c>
      <c r="Q151" s="125">
        <f t="shared" si="14"/>
        <v>0</v>
      </c>
      <c r="R151" s="125">
        <f t="shared" si="14"/>
        <v>0</v>
      </c>
      <c r="S151" s="125">
        <f t="shared" si="14"/>
        <v>0</v>
      </c>
      <c r="T151" s="130">
        <f t="shared" si="14"/>
        <v>0</v>
      </c>
      <c r="U151" s="125">
        <f t="shared" si="14"/>
        <v>0</v>
      </c>
      <c r="V151" s="124">
        <f t="shared" ref="V151:V162" si="15">SUM(J151:U151)</f>
        <v>0</v>
      </c>
    </row>
    <row r="152" spans="1:23" s="43" customFormat="1" ht="24.75" hidden="1" customHeight="1" x14ac:dyDescent="0.25">
      <c r="A152" s="44">
        <v>2</v>
      </c>
      <c r="B152" s="45">
        <v>9</v>
      </c>
      <c r="C152" s="45">
        <v>1</v>
      </c>
      <c r="D152" s="45">
        <v>1</v>
      </c>
      <c r="E152" s="46" t="s">
        <v>26</v>
      </c>
      <c r="F152" s="58" t="s">
        <v>172</v>
      </c>
      <c r="G152" s="58"/>
      <c r="H152" s="58"/>
      <c r="I152" s="37">
        <f>SUM(G152:H152)</f>
        <v>0</v>
      </c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50"/>
      <c r="U152" s="48"/>
      <c r="V152" s="54">
        <f t="shared" si="15"/>
        <v>0</v>
      </c>
      <c r="W152" s="42"/>
    </row>
    <row r="153" spans="1:23" s="43" customFormat="1" ht="24.75" hidden="1" customHeight="1" x14ac:dyDescent="0.25">
      <c r="A153" s="44">
        <v>2</v>
      </c>
      <c r="B153" s="45">
        <v>9</v>
      </c>
      <c r="C153" s="45">
        <v>1</v>
      </c>
      <c r="D153" s="45">
        <v>2</v>
      </c>
      <c r="E153" s="46" t="s">
        <v>26</v>
      </c>
      <c r="F153" s="58" t="s">
        <v>173</v>
      </c>
      <c r="G153" s="58"/>
      <c r="H153" s="58"/>
      <c r="I153" s="37">
        <f>SUM(G153:H153)</f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/>
      <c r="T153" s="50"/>
      <c r="U153" s="48"/>
      <c r="V153" s="54">
        <f t="shared" si="15"/>
        <v>0</v>
      </c>
    </row>
    <row r="154" spans="1:23" s="43" customFormat="1" ht="14.25" hidden="1" customHeight="1" x14ac:dyDescent="0.25">
      <c r="A154" s="44"/>
      <c r="B154" s="45"/>
      <c r="C154" s="45"/>
      <c r="D154" s="45"/>
      <c r="E154" s="46"/>
      <c r="F154" s="58"/>
      <c r="G154" s="58"/>
      <c r="H154" s="58"/>
      <c r="I154" s="58"/>
      <c r="J154" s="58"/>
      <c r="K154" s="48"/>
      <c r="L154" s="48"/>
      <c r="M154" s="48"/>
      <c r="N154" s="48"/>
      <c r="O154" s="48"/>
      <c r="P154" s="48"/>
      <c r="Q154" s="48"/>
      <c r="R154" s="48"/>
      <c r="S154" s="48"/>
      <c r="T154" s="50"/>
      <c r="U154" s="48"/>
      <c r="V154" s="54"/>
    </row>
    <row r="155" spans="1:23" s="43" customFormat="1" ht="21" hidden="1" customHeight="1" x14ac:dyDescent="0.25">
      <c r="A155" s="118"/>
      <c r="B155" s="119"/>
      <c r="C155" s="119"/>
      <c r="D155" s="119"/>
      <c r="E155" s="120"/>
      <c r="F155" s="121" t="s">
        <v>174</v>
      </c>
      <c r="G155" s="122">
        <f>SUM(G156)</f>
        <v>0</v>
      </c>
      <c r="H155" s="122">
        <f>SUM(H156)</f>
        <v>0</v>
      </c>
      <c r="I155" s="122">
        <f>SUM(I156)</f>
        <v>0</v>
      </c>
      <c r="J155" s="122">
        <f>SUM(J156)</f>
        <v>0</v>
      </c>
      <c r="K155" s="122">
        <f t="shared" ref="K155:U155" si="16">SUM(K156)</f>
        <v>0</v>
      </c>
      <c r="L155" s="122">
        <f t="shared" si="16"/>
        <v>0</v>
      </c>
      <c r="M155" s="122">
        <f t="shared" si="16"/>
        <v>0</v>
      </c>
      <c r="N155" s="122">
        <f t="shared" si="16"/>
        <v>0</v>
      </c>
      <c r="O155" s="122">
        <f t="shared" si="16"/>
        <v>0</v>
      </c>
      <c r="P155" s="122">
        <f t="shared" si="16"/>
        <v>0</v>
      </c>
      <c r="Q155" s="122">
        <f t="shared" si="16"/>
        <v>0</v>
      </c>
      <c r="R155" s="122">
        <f t="shared" si="16"/>
        <v>0</v>
      </c>
      <c r="S155" s="122">
        <f t="shared" si="16"/>
        <v>0</v>
      </c>
      <c r="T155" s="123">
        <f t="shared" si="16"/>
        <v>0</v>
      </c>
      <c r="U155" s="122">
        <f t="shared" si="16"/>
        <v>0</v>
      </c>
      <c r="V155" s="124">
        <f t="shared" si="15"/>
        <v>0</v>
      </c>
    </row>
    <row r="156" spans="1:23" s="43" customFormat="1" ht="24.75" hidden="1" customHeight="1" x14ac:dyDescent="0.25">
      <c r="A156" s="86">
        <v>3</v>
      </c>
      <c r="B156" s="82">
        <v>1</v>
      </c>
      <c r="C156" s="82">
        <v>1</v>
      </c>
      <c r="D156" s="82">
        <v>1</v>
      </c>
      <c r="E156" s="83" t="s">
        <v>26</v>
      </c>
      <c r="F156" s="84" t="s">
        <v>174</v>
      </c>
      <c r="G156" s="84"/>
      <c r="H156" s="84"/>
      <c r="I156" s="37">
        <f>SUM(G156:H156)</f>
        <v>0</v>
      </c>
      <c r="J156" s="48">
        <v>0</v>
      </c>
      <c r="K156" s="48">
        <v>0</v>
      </c>
      <c r="L156" s="48"/>
      <c r="M156" s="48"/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/>
      <c r="T156" s="50"/>
      <c r="U156" s="48"/>
      <c r="V156" s="54">
        <f t="shared" si="15"/>
        <v>0</v>
      </c>
    </row>
    <row r="157" spans="1:23" s="43" customFormat="1" ht="15" hidden="1" customHeight="1" x14ac:dyDescent="0.25">
      <c r="A157" s="44"/>
      <c r="B157" s="45"/>
      <c r="C157" s="45"/>
      <c r="D157" s="45"/>
      <c r="E157" s="46"/>
      <c r="F157" s="58"/>
      <c r="G157" s="58"/>
      <c r="H157" s="58"/>
      <c r="I157" s="58"/>
      <c r="J157" s="58"/>
      <c r="K157" s="48"/>
      <c r="L157" s="48"/>
      <c r="M157" s="48"/>
      <c r="N157" s="48"/>
      <c r="O157" s="48"/>
      <c r="P157" s="48"/>
      <c r="Q157" s="48"/>
      <c r="R157" s="48"/>
      <c r="S157" s="48"/>
      <c r="T157" s="50"/>
      <c r="U157" s="48"/>
      <c r="V157" s="54">
        <f t="shared" si="15"/>
        <v>0</v>
      </c>
    </row>
    <row r="158" spans="1:23" s="43" customFormat="1" ht="21" hidden="1" customHeight="1" x14ac:dyDescent="0.25">
      <c r="A158" s="118"/>
      <c r="B158" s="119"/>
      <c r="C158" s="119"/>
      <c r="D158" s="119"/>
      <c r="E158" s="120"/>
      <c r="F158" s="121" t="s">
        <v>175</v>
      </c>
      <c r="G158" s="122">
        <f>SUM(G159:G159)</f>
        <v>0</v>
      </c>
      <c r="H158" s="122">
        <f>SUM(H159:H159)</f>
        <v>0</v>
      </c>
      <c r="I158" s="122">
        <f>SUM(I159:I159)</f>
        <v>0</v>
      </c>
      <c r="J158" s="122">
        <f t="shared" ref="J158:U158" si="17">SUM(J159:J159)</f>
        <v>0</v>
      </c>
      <c r="K158" s="122">
        <f t="shared" si="17"/>
        <v>0</v>
      </c>
      <c r="L158" s="122">
        <f t="shared" si="17"/>
        <v>0</v>
      </c>
      <c r="M158" s="122">
        <f t="shared" si="17"/>
        <v>0</v>
      </c>
      <c r="N158" s="122">
        <f t="shared" si="17"/>
        <v>0</v>
      </c>
      <c r="O158" s="122">
        <f t="shared" si="17"/>
        <v>0</v>
      </c>
      <c r="P158" s="122">
        <f t="shared" si="17"/>
        <v>0</v>
      </c>
      <c r="Q158" s="122">
        <f t="shared" si="17"/>
        <v>0</v>
      </c>
      <c r="R158" s="122">
        <f t="shared" si="17"/>
        <v>0</v>
      </c>
      <c r="S158" s="122">
        <f t="shared" si="17"/>
        <v>0</v>
      </c>
      <c r="T158" s="123">
        <f t="shared" si="17"/>
        <v>0</v>
      </c>
      <c r="U158" s="122">
        <f t="shared" si="17"/>
        <v>0</v>
      </c>
      <c r="V158" s="124">
        <f t="shared" si="15"/>
        <v>0</v>
      </c>
    </row>
    <row r="159" spans="1:23" s="43" customFormat="1" ht="24.75" hidden="1" customHeight="1" x14ac:dyDescent="0.25">
      <c r="A159" s="44">
        <v>4</v>
      </c>
      <c r="B159" s="45">
        <v>2</v>
      </c>
      <c r="C159" s="45">
        <v>1</v>
      </c>
      <c r="D159" s="45">
        <v>5</v>
      </c>
      <c r="E159" s="46" t="s">
        <v>26</v>
      </c>
      <c r="F159" s="131" t="s">
        <v>176</v>
      </c>
      <c r="G159" s="131"/>
      <c r="H159" s="131"/>
      <c r="I159" s="131"/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/>
      <c r="S159" s="48"/>
      <c r="T159" s="50"/>
      <c r="U159" s="48"/>
      <c r="V159" s="54">
        <f t="shared" si="15"/>
        <v>0</v>
      </c>
    </row>
    <row r="160" spans="1:23" s="43" customFormat="1" ht="15.75" hidden="1" customHeight="1" x14ac:dyDescent="0.25">
      <c r="A160" s="44"/>
      <c r="B160" s="45"/>
      <c r="C160" s="45"/>
      <c r="D160" s="45"/>
      <c r="E160" s="46"/>
      <c r="F160" s="58"/>
      <c r="G160" s="58"/>
      <c r="H160" s="58"/>
      <c r="I160" s="58"/>
      <c r="J160" s="58"/>
      <c r="K160" s="48"/>
      <c r="L160" s="48"/>
      <c r="M160" s="48"/>
      <c r="N160" s="48"/>
      <c r="O160" s="48"/>
      <c r="P160" s="48"/>
      <c r="Q160" s="48"/>
      <c r="R160" s="48"/>
      <c r="S160" s="48"/>
      <c r="T160" s="50"/>
      <c r="U160" s="48"/>
      <c r="V160" s="54"/>
    </row>
    <row r="161" spans="1:23" s="43" customFormat="1" ht="23.25" customHeight="1" x14ac:dyDescent="0.25">
      <c r="A161" s="118"/>
      <c r="B161" s="119"/>
      <c r="C161" s="119"/>
      <c r="D161" s="119"/>
      <c r="E161" s="120"/>
      <c r="F161" s="121" t="s">
        <v>177</v>
      </c>
      <c r="G161" s="122">
        <f>SUM(G162)</f>
        <v>35000000</v>
      </c>
      <c r="H161" s="122">
        <f>SUM(H162)</f>
        <v>14300000</v>
      </c>
      <c r="I161" s="122">
        <f>SUM(I162)</f>
        <v>49300000</v>
      </c>
      <c r="J161" s="122">
        <f>SUM(J162)</f>
        <v>0</v>
      </c>
      <c r="K161" s="122">
        <f t="shared" ref="K161:U161" si="18">SUM(K162)</f>
        <v>0</v>
      </c>
      <c r="L161" s="122">
        <f t="shared" si="18"/>
        <v>0</v>
      </c>
      <c r="M161" s="122">
        <f t="shared" si="18"/>
        <v>0</v>
      </c>
      <c r="N161" s="122">
        <f t="shared" si="18"/>
        <v>0</v>
      </c>
      <c r="O161" s="122">
        <f t="shared" si="18"/>
        <v>27108255.309999999</v>
      </c>
      <c r="P161" s="122">
        <f t="shared" si="18"/>
        <v>2598084.13</v>
      </c>
      <c r="Q161" s="122">
        <f t="shared" si="18"/>
        <v>0</v>
      </c>
      <c r="R161" s="122">
        <f t="shared" si="18"/>
        <v>0</v>
      </c>
      <c r="S161" s="122">
        <f t="shared" si="18"/>
        <v>0</v>
      </c>
      <c r="T161" s="123">
        <f t="shared" si="18"/>
        <v>0</v>
      </c>
      <c r="U161" s="122">
        <f t="shared" si="18"/>
        <v>0</v>
      </c>
      <c r="V161" s="124">
        <f t="shared" si="15"/>
        <v>29706339.439999998</v>
      </c>
    </row>
    <row r="162" spans="1:23" s="43" customFormat="1" ht="22.5" customHeight="1" thickBot="1" x14ac:dyDescent="0.3">
      <c r="A162" s="132" t="s">
        <v>178</v>
      </c>
      <c r="B162" s="45">
        <v>2</v>
      </c>
      <c r="C162" s="45">
        <v>2</v>
      </c>
      <c r="D162" s="45">
        <v>1</v>
      </c>
      <c r="E162" s="46" t="s">
        <v>26</v>
      </c>
      <c r="F162" s="58" t="s">
        <v>179</v>
      </c>
      <c r="G162" s="35">
        <v>35000000</v>
      </c>
      <c r="H162" s="36">
        <v>14300000</v>
      </c>
      <c r="I162" s="37">
        <f>SUM(G162:H162)</f>
        <v>49300000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27108255.309999999</v>
      </c>
      <c r="P162" s="48">
        <v>2598084.13</v>
      </c>
      <c r="Q162" s="48">
        <v>0</v>
      </c>
      <c r="R162" s="48"/>
      <c r="S162" s="48"/>
      <c r="T162" s="50"/>
      <c r="U162" s="48"/>
      <c r="V162" s="54">
        <f t="shared" si="15"/>
        <v>29706339.439999998</v>
      </c>
      <c r="W162" s="103"/>
    </row>
    <row r="163" spans="1:23" s="43" customFormat="1" ht="10.5" hidden="1" customHeight="1" x14ac:dyDescent="0.25">
      <c r="A163" s="59"/>
      <c r="B163" s="62"/>
      <c r="C163" s="62"/>
      <c r="D163" s="62"/>
      <c r="E163" s="62"/>
      <c r="F163" s="62"/>
      <c r="G163" s="62"/>
      <c r="H163" s="62"/>
      <c r="I163" s="62"/>
      <c r="J163" s="62"/>
      <c r="K163" s="63"/>
      <c r="L163" s="63"/>
      <c r="M163" s="63"/>
      <c r="N163" s="63"/>
      <c r="O163" s="63"/>
      <c r="P163" s="63"/>
      <c r="Q163" s="63"/>
      <c r="R163" s="63"/>
      <c r="S163" s="63"/>
      <c r="T163" s="65"/>
      <c r="U163" s="63"/>
      <c r="V163" s="66"/>
      <c r="W163" s="42"/>
    </row>
    <row r="164" spans="1:23" s="43" customFormat="1" ht="24.75" customHeight="1" thickBot="1" x14ac:dyDescent="0.3">
      <c r="A164" s="155" t="s">
        <v>180</v>
      </c>
      <c r="B164" s="156"/>
      <c r="C164" s="156"/>
      <c r="D164" s="156"/>
      <c r="E164" s="156"/>
      <c r="F164" s="156"/>
      <c r="G164" s="133">
        <f t="shared" ref="G164:V164" si="19">SUM(G161+G158+G155+G151+G146+G125+G121+G108+G75+G30+G8)</f>
        <v>1083517385</v>
      </c>
      <c r="H164" s="133">
        <f t="shared" si="19"/>
        <v>4705990644.5299997</v>
      </c>
      <c r="I164" s="75">
        <f t="shared" si="19"/>
        <v>5789508029.5299997</v>
      </c>
      <c r="J164" s="75">
        <f t="shared" si="19"/>
        <v>145457125.55000001</v>
      </c>
      <c r="K164" s="75">
        <f t="shared" si="19"/>
        <v>950642749.35000002</v>
      </c>
      <c r="L164" s="75">
        <f t="shared" si="19"/>
        <v>623561312.33999979</v>
      </c>
      <c r="M164" s="75">
        <f t="shared" si="19"/>
        <v>170843754.34999996</v>
      </c>
      <c r="N164" s="75">
        <f t="shared" si="19"/>
        <v>132078346.69999999</v>
      </c>
      <c r="O164" s="75">
        <f t="shared" si="19"/>
        <v>204741105.66</v>
      </c>
      <c r="P164" s="75">
        <f t="shared" si="19"/>
        <v>398798992.97999996</v>
      </c>
      <c r="Q164" s="75">
        <f t="shared" si="19"/>
        <v>263306356.05000001</v>
      </c>
      <c r="R164" s="75">
        <f t="shared" si="19"/>
        <v>0</v>
      </c>
      <c r="S164" s="75">
        <f t="shared" si="19"/>
        <v>0</v>
      </c>
      <c r="T164" s="75">
        <f t="shared" si="19"/>
        <v>0</v>
      </c>
      <c r="U164" s="75">
        <f t="shared" si="19"/>
        <v>0</v>
      </c>
      <c r="V164" s="78">
        <f t="shared" si="19"/>
        <v>2889429742.98</v>
      </c>
      <c r="W164" s="42"/>
    </row>
    <row r="165" spans="1:23" x14ac:dyDescent="0.3">
      <c r="A165" s="10"/>
      <c r="B165" s="9"/>
      <c r="C165" s="9"/>
      <c r="D165" s="9"/>
      <c r="E165" s="9"/>
      <c r="F165" s="9"/>
      <c r="G165" s="9"/>
      <c r="H165" s="9"/>
      <c r="I165" s="9"/>
      <c r="J165" s="134"/>
      <c r="K165" s="6"/>
      <c r="L165" s="6"/>
      <c r="M165" s="6"/>
      <c r="N165" s="7"/>
      <c r="O165" s="6"/>
      <c r="P165" s="6"/>
      <c r="Q165" s="6"/>
      <c r="R165" s="6"/>
      <c r="S165" s="6"/>
      <c r="T165" s="8"/>
      <c r="U165" s="6"/>
      <c r="V165" s="6"/>
    </row>
    <row r="166" spans="1:23" ht="15.75" customHeight="1" x14ac:dyDescent="0.3">
      <c r="A166" s="10"/>
      <c r="B166" s="9"/>
      <c r="C166" s="9"/>
      <c r="D166" s="9"/>
      <c r="E166" s="9"/>
      <c r="F166" s="10"/>
      <c r="G166" s="10"/>
      <c r="H166" s="135"/>
      <c r="I166" s="135"/>
      <c r="J166" s="9"/>
      <c r="K166" s="6"/>
      <c r="L166" s="6"/>
      <c r="M166" s="6"/>
      <c r="N166" s="7"/>
      <c r="O166" s="6"/>
      <c r="P166" s="6"/>
      <c r="Q166" s="6"/>
      <c r="R166" s="6"/>
      <c r="S166" s="6"/>
      <c r="T166" s="8"/>
      <c r="U166" s="6"/>
      <c r="V166" s="6"/>
    </row>
    <row r="167" spans="1:23" ht="15.75" customHeight="1" x14ac:dyDescent="0.3">
      <c r="A167" s="10"/>
      <c r="B167" s="9"/>
      <c r="C167" s="9"/>
      <c r="D167" s="9"/>
      <c r="E167" s="9"/>
      <c r="F167" s="10"/>
      <c r="G167" s="10"/>
      <c r="H167" s="10"/>
      <c r="I167" s="10"/>
      <c r="J167" s="9"/>
      <c r="K167" s="6"/>
      <c r="L167" s="6"/>
      <c r="M167" s="6"/>
      <c r="N167" s="7"/>
      <c r="O167" s="6"/>
      <c r="P167" s="6"/>
      <c r="Q167" s="6"/>
      <c r="R167" s="6"/>
      <c r="S167" s="6"/>
      <c r="T167" s="8"/>
      <c r="U167" s="6"/>
      <c r="V167" s="6"/>
    </row>
    <row r="168" spans="1:23" ht="23.25" customHeight="1" x14ac:dyDescent="0.3">
      <c r="A168" s="10"/>
      <c r="B168" s="9"/>
      <c r="C168" s="9"/>
      <c r="D168" s="9"/>
      <c r="E168" s="9"/>
      <c r="F168" s="10"/>
      <c r="G168" s="10"/>
      <c r="H168" s="135"/>
      <c r="I168" s="135"/>
      <c r="J168" s="9"/>
      <c r="K168" s="6"/>
      <c r="L168" s="6"/>
      <c r="M168" s="6"/>
      <c r="N168" s="7"/>
      <c r="O168" s="6"/>
      <c r="P168" s="6"/>
      <c r="Q168" s="6"/>
      <c r="R168" s="6"/>
      <c r="S168" s="6"/>
      <c r="T168" s="8"/>
      <c r="U168" s="6"/>
      <c r="V168" s="134"/>
    </row>
    <row r="169" spans="1:23" ht="19.5" customHeight="1" x14ac:dyDescent="0.3">
      <c r="A169" s="10"/>
      <c r="B169" s="9"/>
      <c r="C169" s="9"/>
      <c r="D169" s="9"/>
      <c r="E169" s="9"/>
      <c r="F169" s="10"/>
      <c r="G169" s="10"/>
      <c r="H169" s="10"/>
      <c r="I169" s="10"/>
      <c r="J169" s="9"/>
      <c r="K169" s="6"/>
      <c r="L169" s="6"/>
      <c r="M169" s="6"/>
      <c r="N169" s="7"/>
      <c r="O169" s="6"/>
      <c r="P169" s="6"/>
      <c r="Q169" s="6"/>
      <c r="R169" s="6"/>
      <c r="S169" s="6"/>
      <c r="T169" s="8"/>
      <c r="U169" s="6"/>
      <c r="V169" s="134"/>
    </row>
    <row r="170" spans="1:23" ht="28.5" customHeight="1" x14ac:dyDescent="0.3">
      <c r="A170" s="150" t="s">
        <v>181</v>
      </c>
      <c r="B170" s="150"/>
      <c r="C170" s="150"/>
      <c r="D170" s="150"/>
      <c r="E170" s="150"/>
      <c r="F170" s="150"/>
      <c r="G170" s="136"/>
      <c r="H170" s="136"/>
      <c r="I170" s="136"/>
      <c r="J170" s="149" t="s">
        <v>182</v>
      </c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</row>
    <row r="171" spans="1:23" ht="18" customHeight="1" x14ac:dyDescent="0.3">
      <c r="A171" s="148" t="s">
        <v>183</v>
      </c>
      <c r="B171" s="148"/>
      <c r="C171" s="148"/>
      <c r="D171" s="148"/>
      <c r="E171" s="148"/>
      <c r="F171" s="148"/>
      <c r="G171" s="137"/>
      <c r="H171" s="137"/>
      <c r="I171" s="137"/>
      <c r="J171" s="148" t="s">
        <v>184</v>
      </c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</row>
    <row r="172" spans="1:23" ht="12.75" customHeight="1" x14ac:dyDescent="0.3">
      <c r="A172" s="10"/>
      <c r="B172" s="138"/>
      <c r="C172" s="138"/>
      <c r="D172" s="138"/>
      <c r="E172" s="138"/>
      <c r="F172" s="138"/>
      <c r="G172" s="138"/>
      <c r="H172" s="138"/>
      <c r="I172" s="138"/>
      <c r="J172" s="139"/>
      <c r="K172" s="138"/>
      <c r="L172" s="138"/>
      <c r="M172" s="138"/>
      <c r="N172" s="138"/>
      <c r="O172" s="138"/>
      <c r="P172" s="140"/>
      <c r="Q172" s="140"/>
      <c r="R172" s="140"/>
      <c r="S172" s="140"/>
      <c r="T172" s="141"/>
      <c r="U172" s="140"/>
      <c r="V172" s="138"/>
    </row>
    <row r="173" spans="1:23" ht="12.75" customHeight="1" x14ac:dyDescent="0.3">
      <c r="A173" s="10"/>
      <c r="B173" s="138"/>
      <c r="C173" s="138"/>
      <c r="D173" s="138"/>
      <c r="E173" s="138"/>
      <c r="F173" s="138"/>
      <c r="G173" s="138"/>
      <c r="H173" s="138"/>
      <c r="I173" s="138"/>
      <c r="J173" s="139"/>
      <c r="K173" s="138"/>
      <c r="L173" s="138"/>
      <c r="M173" s="138"/>
      <c r="N173" s="138"/>
      <c r="O173" s="138"/>
      <c r="P173" s="140"/>
      <c r="Q173" s="140"/>
      <c r="R173" s="140"/>
      <c r="S173" s="140"/>
      <c r="T173" s="141"/>
      <c r="U173" s="140"/>
      <c r="V173" s="138"/>
    </row>
    <row r="174" spans="1:23" ht="24" customHeight="1" x14ac:dyDescent="0.3">
      <c r="A174" s="10"/>
      <c r="B174" s="138"/>
      <c r="C174" s="138"/>
      <c r="D174" s="138"/>
      <c r="E174" s="138"/>
      <c r="F174" s="138"/>
      <c r="G174" s="138"/>
      <c r="H174" s="138"/>
      <c r="I174" s="138"/>
      <c r="J174" s="139"/>
      <c r="K174" s="138"/>
      <c r="L174" s="138"/>
      <c r="M174" s="138"/>
      <c r="N174" s="138"/>
      <c r="O174" s="138"/>
      <c r="P174" s="140"/>
      <c r="Q174" s="140"/>
      <c r="R174" s="140"/>
      <c r="S174" s="140"/>
      <c r="T174" s="141"/>
      <c r="U174" s="140"/>
      <c r="V174" s="138"/>
    </row>
    <row r="175" spans="1:23" ht="15" customHeight="1" x14ac:dyDescent="0.3">
      <c r="A175" s="10"/>
      <c r="B175" s="142"/>
      <c r="C175" s="9"/>
      <c r="D175" s="9"/>
      <c r="E175" s="9"/>
      <c r="F175" s="9"/>
      <c r="G175" s="9"/>
      <c r="H175" s="9"/>
      <c r="I175" s="9"/>
      <c r="J175" s="142"/>
      <c r="K175" s="142"/>
      <c r="L175" s="143"/>
      <c r="M175" s="6"/>
      <c r="N175" s="7"/>
      <c r="O175" s="6"/>
      <c r="P175" s="6"/>
      <c r="Q175" s="6"/>
      <c r="R175" s="6"/>
      <c r="S175" s="6"/>
      <c r="T175" s="8"/>
      <c r="U175" s="6"/>
      <c r="V175" s="9"/>
    </row>
    <row r="176" spans="1:23" ht="28.5" customHeight="1" x14ac:dyDescent="0.3">
      <c r="A176" s="149" t="s">
        <v>185</v>
      </c>
      <c r="B176" s="149"/>
      <c r="C176" s="149"/>
      <c r="D176" s="149"/>
      <c r="E176" s="149"/>
      <c r="F176" s="149"/>
      <c r="G176" s="144"/>
      <c r="H176" s="144"/>
      <c r="I176" s="144"/>
      <c r="J176" s="150" t="s">
        <v>186</v>
      </c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</row>
    <row r="177" spans="1:22" ht="51.6" customHeight="1" x14ac:dyDescent="0.3">
      <c r="A177" s="151" t="s">
        <v>187</v>
      </c>
      <c r="B177" s="151"/>
      <c r="C177" s="151"/>
      <c r="D177" s="151"/>
      <c r="E177" s="151"/>
      <c r="F177" s="151"/>
      <c r="G177" s="145"/>
      <c r="H177" s="145"/>
      <c r="I177" s="145"/>
      <c r="J177" s="152" t="s">
        <v>188</v>
      </c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</row>
    <row r="178" spans="1:22" ht="28.5" customHeight="1" x14ac:dyDescent="0.3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6"/>
      <c r="L178" s="6"/>
      <c r="M178" s="6"/>
      <c r="N178" s="7"/>
      <c r="O178" s="6"/>
      <c r="P178" s="6"/>
      <c r="Q178" s="6"/>
      <c r="R178" s="6"/>
      <c r="S178" s="6"/>
      <c r="T178" s="8"/>
      <c r="U178" s="6"/>
      <c r="V178" s="9"/>
    </row>
    <row r="179" spans="1:22" ht="28.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6"/>
      <c r="M179" s="6"/>
      <c r="N179" s="7"/>
      <c r="O179" s="6"/>
      <c r="P179" s="6"/>
      <c r="Q179" s="6"/>
      <c r="R179" s="6"/>
      <c r="S179" s="6"/>
      <c r="T179" s="8"/>
      <c r="U179" s="6"/>
      <c r="V179" s="9"/>
    </row>
  </sheetData>
  <mergeCells count="13">
    <mergeCell ref="A170:F170"/>
    <mergeCell ref="J170:V170"/>
    <mergeCell ref="F1:V2"/>
    <mergeCell ref="E4:V4"/>
    <mergeCell ref="E5:V5"/>
    <mergeCell ref="E6:V6"/>
    <mergeCell ref="A164:F164"/>
    <mergeCell ref="A171:F171"/>
    <mergeCell ref="J171:V171"/>
    <mergeCell ref="A176:F176"/>
    <mergeCell ref="J176:V176"/>
    <mergeCell ref="A177:F177"/>
    <mergeCell ref="J177:V177"/>
  </mergeCells>
  <printOptions horizontalCentered="1"/>
  <pageMargins left="0.39370078740157499" right="0.39370078740157499" top="0.143700787" bottom="0.143700787" header="0.196850393700787" footer="0.196850393700787"/>
  <pageSetup paperSize="5" scale="52" orientation="landscape" r:id="rId1"/>
  <headerFooter>
    <oddFooter>&amp;C&amp;P</oddFooter>
  </headerFooter>
  <rowBreaks count="4" manualBreakCount="4">
    <brk id="29" max="16383" man="1"/>
    <brk id="74" max="18" man="1"/>
    <brk id="107" max="16383" man="1"/>
    <brk id="177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2022</vt:lpstr>
      <vt:lpstr>'EJEC. 2022'!Área_de_impresión</vt:lpstr>
      <vt:lpstr>'EJEC.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Marquez</cp:lastModifiedBy>
  <cp:lastPrinted>2022-09-12T23:57:58Z</cp:lastPrinted>
  <dcterms:created xsi:type="dcterms:W3CDTF">2022-09-09T13:58:51Z</dcterms:created>
  <dcterms:modified xsi:type="dcterms:W3CDTF">2022-09-12T23:59:50Z</dcterms:modified>
</cp:coreProperties>
</file>